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drawings/drawing3.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charts/chart14.xml" ContentType="application/vnd.openxmlformats-officedocument.drawingml.chart+xml"/>
  <Override PartName="/xl/charts/chart15.xml" ContentType="application/vnd.openxmlformats-officedocument.drawingml.chart+xml"/>
  <Override PartName="/xl/worksheets/sheet3.xml" ContentType="application/vnd.openxmlformats-officedocument.spreadsheetml.worksheet+xml"/>
  <Override PartName="/xl/worksheets/sheet4.xml" ContentType="application/vnd.openxmlformats-officedocument.spreadsheetml.worksheet+xml"/>
  <Override PartName="/xl/charts/chart13.xml" ContentType="application/vnd.openxmlformats-officedocument.drawingml.chart+xml"/>
  <Override PartName="/xl/charts/chart12.xml" ContentType="application/vnd.openxmlformats-officedocument.drawingml.chart+xml"/>
  <Override PartName="/xl/worksheets/sheet1.xml" ContentType="application/vnd.openxmlformats-officedocument.spreadsheetml.workshee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xl/drawings/drawing2.xml" ContentType="application/vnd.openxmlformats-officedocument.drawing+xml"/>
  <Override PartName="/xl/charts/chart8.xml" ContentType="application/vnd.openxmlformats-officedocument.drawingml.chart+xml"/>
  <Override PartName="/xl/charts/chart7.xml" ContentType="application/vnd.openxmlformats-officedocument.drawingml.char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7.xml" ContentType="application/vnd.openxmlformats-officedocument.spreadsheetml.worksheet+xml"/>
  <Override PartName="/xl/drawings/drawing1.xml" ContentType="application/vnd.openxmlformats-officedocument.drawing+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laneacion-Nataly\Desktop\Nataly\Nataly\Nataly Polo\TRANSPARENCIA DOC\HACIENDA\2019\PLAN DE GASTO Publico\"/>
    </mc:Choice>
  </mc:AlternateContent>
  <bookViews>
    <workbookView xWindow="0" yWindow="0" windowWidth="20490" windowHeight="7605" tabRatio="984" firstSheet="4" activeTab="5"/>
  </bookViews>
  <sheets>
    <sheet name="Datos" sheetId="3" state="hidden" r:id="rId1"/>
    <sheet name="Antecedente" sheetId="4" state="hidden" r:id="rId2"/>
    <sheet name="Datos " sheetId="5" r:id="rId3"/>
    <sheet name="Histórico Deptos" sheetId="14" r:id="rId4"/>
    <sheet name="Histórico Mpios" sheetId="6" r:id="rId5"/>
    <sheet name="Balance Financiero Minhacienda" sheetId="2" r:id="rId6"/>
    <sheet name="Plan Financiero DNP" sheetId="8" r:id="rId7"/>
    <sheet name="Deuda" sheetId="9" r:id="rId8"/>
    <sheet name="Superávit" sheetId="10" r:id="rId9"/>
    <sheet name="Gráf-Mpios" sheetId="12" r:id="rId10"/>
    <sheet name="Gráf-Deptos" sheetId="15" r:id="rId11"/>
    <sheet name="Balance Financiero Minhacie (2)" sheetId="16" r:id="rId12"/>
  </sheets>
  <externalReferences>
    <externalReference r:id="rId13"/>
  </externalReferences>
  <definedNames>
    <definedName name="\c" localSheetId="11">#REF!</definedName>
    <definedName name="\c" localSheetId="10">#REF!</definedName>
    <definedName name="\c">#REF!</definedName>
    <definedName name="\i" localSheetId="11">#REF!</definedName>
    <definedName name="\i" localSheetId="10">#REF!</definedName>
    <definedName name="\i">#REF!</definedName>
    <definedName name="\P" localSheetId="11">#REF!</definedName>
    <definedName name="\P" localSheetId="10">#REF!</definedName>
    <definedName name="\P">#REF!</definedName>
    <definedName name="\r" localSheetId="11">#REF!</definedName>
    <definedName name="\r" localSheetId="10">#REF!</definedName>
    <definedName name="\r">#REF!</definedName>
    <definedName name="_1" localSheetId="11">#REF!</definedName>
    <definedName name="_1" localSheetId="10">#REF!</definedName>
    <definedName name="_1">#REF!</definedName>
    <definedName name="_1998" localSheetId="11">#REF!</definedName>
    <definedName name="_1998" localSheetId="10">#REF!</definedName>
    <definedName name="_1998">#REF!</definedName>
    <definedName name="_1999" localSheetId="11">#REF!</definedName>
    <definedName name="_1999" localSheetId="10">#REF!</definedName>
    <definedName name="_1999">#REF!</definedName>
    <definedName name="_2" localSheetId="11">#REF!</definedName>
    <definedName name="_2" localSheetId="10">#REF!</definedName>
    <definedName name="_2">#REF!</definedName>
    <definedName name="_2000" localSheetId="11">#REF!</definedName>
    <definedName name="_2000" localSheetId="10">#REF!</definedName>
    <definedName name="_2000">#REF!</definedName>
    <definedName name="_2001" localSheetId="11">#REF!</definedName>
    <definedName name="_2001" localSheetId="10">#REF!</definedName>
    <definedName name="_2001">#REF!</definedName>
    <definedName name="_2002" localSheetId="11">#REF!</definedName>
    <definedName name="_2002" localSheetId="10">#REF!</definedName>
    <definedName name="_2002">#REF!</definedName>
    <definedName name="_3" localSheetId="11">#REF!</definedName>
    <definedName name="_3" localSheetId="10">#REF!</definedName>
    <definedName name="_3">#REF!</definedName>
    <definedName name="_4" localSheetId="11">#REF!</definedName>
    <definedName name="_4" localSheetId="10">#REF!</definedName>
    <definedName name="_4">#REF!</definedName>
    <definedName name="_5" localSheetId="11">#REF!</definedName>
    <definedName name="_5" localSheetId="10">#REF!</definedName>
    <definedName name="_5">#REF!</definedName>
    <definedName name="_6" localSheetId="11">#REF!</definedName>
    <definedName name="_6" localSheetId="10">#REF!</definedName>
    <definedName name="_6">#REF!</definedName>
    <definedName name="_7" localSheetId="11">#REF!</definedName>
    <definedName name="_7" localSheetId="10">#REF!</definedName>
    <definedName name="_7">#REF!</definedName>
    <definedName name="_8" localSheetId="11">#REF!</definedName>
    <definedName name="_8" localSheetId="10">#REF!</definedName>
    <definedName name="_8">#REF!</definedName>
    <definedName name="_a1" localSheetId="11">#REF!</definedName>
    <definedName name="_a1" localSheetId="10">#REF!</definedName>
    <definedName name="_a1">#REF!</definedName>
    <definedName name="_Order1" hidden="1">255</definedName>
    <definedName name="_Order2" hidden="1">255</definedName>
    <definedName name="_RES9397" localSheetId="11">#REF!</definedName>
    <definedName name="_RES9397" localSheetId="10">#REF!</definedName>
    <definedName name="_RES9397">#REF!</definedName>
    <definedName name="_sgp20091"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A" localSheetId="11">#REF!</definedName>
    <definedName name="A" localSheetId="10">#REF!</definedName>
    <definedName name="A">#REF!</definedName>
    <definedName name="A_2002" localSheetId="11">#REF!</definedName>
    <definedName name="A_2002" localSheetId="10">#REF!</definedName>
    <definedName name="A_2002">#REF!</definedName>
    <definedName name="A_impresión_IM" localSheetId="11">#REF!</definedName>
    <definedName name="A_impresión_IM" localSheetId="10">#REF!</definedName>
    <definedName name="A_impresión_IM">#REF!</definedName>
    <definedName name="Ajustado" localSheetId="11">#REF!</definedName>
    <definedName name="Ajustado" localSheetId="10">#REF!</definedName>
    <definedName name="Ajustado">#REF!</definedName>
    <definedName name="ANEXO_No." localSheetId="11">#REF!</definedName>
    <definedName name="ANEXO_No." localSheetId="10">#REF!</definedName>
    <definedName name="ANEXO_No.">#REF!</definedName>
    <definedName name="ANEXO_No._5" localSheetId="11">#REF!</definedName>
    <definedName name="ANEXO_No._5" localSheetId="10">#REF!</definedName>
    <definedName name="ANEXO_No._5">#REF!</definedName>
    <definedName name="APROPIACIONES_PAC_Y_REZAGO_1999___2000" localSheetId="11">#REF!</definedName>
    <definedName name="APROPIACIONES_PAC_Y_REZAGO_1999___2000" localSheetId="10">#REF!</definedName>
    <definedName name="APROPIACIONES_PAC_Y_REZAGO_1999___2000">#REF!</definedName>
    <definedName name="_xlnm.Print_Area" localSheetId="11">'Balance Financiero Minhacie (2)'!$A$3:$B$163</definedName>
    <definedName name="_xlnm.Print_Area" localSheetId="5">'Balance Financiero Minhacienda'!$A$3:$B$172</definedName>
    <definedName name="asigbas" localSheetId="11">#REF!</definedName>
    <definedName name="asigbas" localSheetId="10">#REF!</definedName>
    <definedName name="asigbas">#REF!</definedName>
    <definedName name="asigbasempu" localSheetId="11">#REF!</definedName>
    <definedName name="asigbasempu" localSheetId="10">#REF!</definedName>
    <definedName name="asigbasempu">#REF!</definedName>
    <definedName name="asigbasisten" localSheetId="11">#REF!</definedName>
    <definedName name="asigbasisten" localSheetId="10">#REF!</definedName>
    <definedName name="asigbasisten">#REF!</definedName>
    <definedName name="asigbastotal" localSheetId="11">#REF!</definedName>
    <definedName name="asigbastotal" localSheetId="10">#REF!</definedName>
    <definedName name="asigbastotal">#REF!</definedName>
    <definedName name="asigmen" localSheetId="11">#REF!</definedName>
    <definedName name="asigmen" localSheetId="10">#REF!</definedName>
    <definedName name="asigmen">#REF!</definedName>
    <definedName name="auxalm" localSheetId="11">#REF!</definedName>
    <definedName name="auxalm" localSheetId="10">#REF!</definedName>
    <definedName name="auxalm">#REF!</definedName>
    <definedName name="_xlnm.Database" localSheetId="11">#REF!</definedName>
    <definedName name="_xlnm.Database" localSheetId="10">#REF!</definedName>
    <definedName name="_xlnm.Database">#REF!</definedName>
    <definedName name="bonser" localSheetId="11">#REF!</definedName>
    <definedName name="bonser" localSheetId="10">#REF!</definedName>
    <definedName name="bonser">#REF!</definedName>
    <definedName name="CARBOCRECIM" localSheetId="11">#REF!</definedName>
    <definedName name="CARBOCRECIM" localSheetId="10">#REF!</definedName>
    <definedName name="CARBOCRECIM">#REF!</definedName>
    <definedName name="CARBOPESOS" localSheetId="11">#REF!</definedName>
    <definedName name="CARBOPESOS" localSheetId="10">#REF!</definedName>
    <definedName name="CARBOPESOS">#REF!</definedName>
    <definedName name="CARBOPIB" localSheetId="11">#REF!</definedName>
    <definedName name="CARBOPIB" localSheetId="10">#REF!</definedName>
    <definedName name="CARBOPIB">#REF!</definedName>
    <definedName name="CENSO1964" localSheetId="11">#REF!</definedName>
    <definedName name="CENSO1964" localSheetId="10">#REF!</definedName>
    <definedName name="CENSO1964">#REF!</definedName>
    <definedName name="CENSO1973" localSheetId="11">#REF!</definedName>
    <definedName name="CENSO1973" localSheetId="10">#REF!</definedName>
    <definedName name="CENSO1973">#REF!</definedName>
    <definedName name="CENSO1985" localSheetId="11">#REF!</definedName>
    <definedName name="CENSO1985" localSheetId="10">#REF!</definedName>
    <definedName name="CENSO1985">#REF!</definedName>
    <definedName name="COD_DEP" localSheetId="11">#REF!</definedName>
    <definedName name="COD_DEP" localSheetId="10">#REF!</definedName>
    <definedName name="COD_DEP">#REF!</definedName>
    <definedName name="COD_DEPARTAMENTO" localSheetId="11">#REF!</definedName>
    <definedName name="COD_DEPARTAMENTO" localSheetId="10">#REF!</definedName>
    <definedName name="COD_DEPARTAMENTO">#REF!</definedName>
    <definedName name="COD_MUN" localSheetId="11">#REF!</definedName>
    <definedName name="COD_MUN" localSheetId="10">#REF!</definedName>
    <definedName name="COD_MUN">#REF!</definedName>
    <definedName name="codigo" localSheetId="11">#REF!</definedName>
    <definedName name="codigo" localSheetId="10">#REF!</definedName>
    <definedName name="codigo">#REF!</definedName>
    <definedName name="CODIGO_DIVIPOLA" localSheetId="11">#REF!</definedName>
    <definedName name="CODIGO_DIVIPOLA" localSheetId="10">#REF!</definedName>
    <definedName name="CODIGO_DIVIPOLA">#REF!</definedName>
    <definedName name="COLUM00PESOS" localSheetId="11">#REF!</definedName>
    <definedName name="COLUM00PESOS" localSheetId="10">#REF!</definedName>
    <definedName name="COLUM00PESOS">#REF!</definedName>
    <definedName name="COLUM00PIB" localSheetId="11">#REF!</definedName>
    <definedName name="COLUM00PIB" localSheetId="10">#REF!</definedName>
    <definedName name="COLUM00PIB">#REF!</definedName>
    <definedName name="COLUM01PESOS" localSheetId="11">#REF!</definedName>
    <definedName name="COLUM01PESOS" localSheetId="10">#REF!</definedName>
    <definedName name="COLUM01PESOS">#REF!</definedName>
    <definedName name="COLUM01PIB" localSheetId="11">#REF!</definedName>
    <definedName name="COLUM01PIB" localSheetId="10">#REF!</definedName>
    <definedName name="COLUM01PIB">#REF!</definedName>
    <definedName name="COLUM02PESOS" localSheetId="11">#REF!</definedName>
    <definedName name="COLUM02PESOS" localSheetId="10">#REF!</definedName>
    <definedName name="COLUM02PESOS">#REF!</definedName>
    <definedName name="COLUM02PIB" localSheetId="11">#REF!</definedName>
    <definedName name="COLUM02PIB" localSheetId="10">#REF!</definedName>
    <definedName name="COLUM02PIB">#REF!</definedName>
    <definedName name="COLUM03PESOS" localSheetId="11">#REF!</definedName>
    <definedName name="COLUM03PESOS" localSheetId="10">#REF!</definedName>
    <definedName name="COLUM03PESOS">#REF!</definedName>
    <definedName name="COLUM03PIB" localSheetId="11">#REF!</definedName>
    <definedName name="COLUM03PIB" localSheetId="10">#REF!</definedName>
    <definedName name="COLUM03PIB">#REF!</definedName>
    <definedName name="COLUM04PESOS" localSheetId="11">#REF!</definedName>
    <definedName name="COLUM04PESOS" localSheetId="10">#REF!</definedName>
    <definedName name="COLUM04PESOS">#REF!</definedName>
    <definedName name="COLUM04PIB" localSheetId="11">#REF!</definedName>
    <definedName name="COLUM04PIB" localSheetId="10">#REF!</definedName>
    <definedName name="COLUM04PIB">#REF!</definedName>
    <definedName name="COLUM05PESOS" localSheetId="11">#REF!</definedName>
    <definedName name="COLUM05PESOS" localSheetId="10">#REF!</definedName>
    <definedName name="COLUM05PESOS">#REF!</definedName>
    <definedName name="COLUM05PIB" localSheetId="11">#REF!</definedName>
    <definedName name="COLUM05PIB" localSheetId="10">#REF!</definedName>
    <definedName name="COLUM05PIB">#REF!</definedName>
    <definedName name="COLUM06PESOS" localSheetId="11">#REF!</definedName>
    <definedName name="COLUM06PESOS" localSheetId="10">#REF!</definedName>
    <definedName name="COLUM06PESOS">#REF!</definedName>
    <definedName name="COLUM06PIB" localSheetId="11">#REF!</definedName>
    <definedName name="COLUM06PIB" localSheetId="10">#REF!</definedName>
    <definedName name="COLUM06PIB">#REF!</definedName>
    <definedName name="COLUM07PESOS" localSheetId="11">#REF!</definedName>
    <definedName name="COLUM07PESOS" localSheetId="10">#REF!</definedName>
    <definedName name="COLUM07PESOS">#REF!</definedName>
    <definedName name="COLUM07PIB" localSheetId="11">#REF!</definedName>
    <definedName name="COLUM07PIB" localSheetId="10">#REF!</definedName>
    <definedName name="COLUM07PIB">#REF!</definedName>
    <definedName name="COLUM98PESOS" localSheetId="11">#REF!</definedName>
    <definedName name="COLUM98PESOS" localSheetId="10">#REF!</definedName>
    <definedName name="COLUM98PESOS">#REF!</definedName>
    <definedName name="COLUM98PIB" localSheetId="11">#REF!</definedName>
    <definedName name="COLUM98PIB" localSheetId="10">#REF!</definedName>
    <definedName name="COLUM98PIB">#REF!</definedName>
    <definedName name="COLUM99PESOS" localSheetId="11">#REF!</definedName>
    <definedName name="COLUM99PESOS" localSheetId="10">#REF!</definedName>
    <definedName name="COLUM99PESOS">#REF!</definedName>
    <definedName name="COLUM99PIB" localSheetId="11">#REF!</definedName>
    <definedName name="COLUM99PIB" localSheetId="10">#REF!</definedName>
    <definedName name="COLUM99PIB">#REF!</definedName>
    <definedName name="Confis" localSheetId="11">#REF!</definedName>
    <definedName name="Confis" localSheetId="10">#REF!</definedName>
    <definedName name="Confis">#REF!</definedName>
    <definedName name="conpln3" localSheetId="11">#REF!</definedName>
    <definedName name="conpln3" localSheetId="10">#REF!</definedName>
    <definedName name="conpln3">#REF!</definedName>
    <definedName name="conpln4" localSheetId="11">#REF!</definedName>
    <definedName name="conpln4" localSheetId="10">#REF!</definedName>
    <definedName name="conpln4">#REF!</definedName>
    <definedName name="conpln5" localSheetId="11">#REF!</definedName>
    <definedName name="conpln5" localSheetId="10">#REF!</definedName>
    <definedName name="conpln5">#REF!</definedName>
    <definedName name="CRBLO00_" localSheetId="11">#REF!</definedName>
    <definedName name="CRBLO00_" localSheetId="10">#REF!</definedName>
    <definedName name="CRBLO00_">#REF!</definedName>
    <definedName name="CRBLO93_" localSheetId="11">#REF!</definedName>
    <definedName name="CRBLO93_" localSheetId="10">#REF!</definedName>
    <definedName name="CRBLO93_">#REF!</definedName>
    <definedName name="CRBLO94_" localSheetId="11">#REF!</definedName>
    <definedName name="CRBLO94_" localSheetId="10">#REF!</definedName>
    <definedName name="CRBLO94_">#REF!</definedName>
    <definedName name="CRBLO95_" localSheetId="11">#REF!</definedName>
    <definedName name="CRBLO95_" localSheetId="10">#REF!</definedName>
    <definedName name="CRBLO95_">#REF!</definedName>
    <definedName name="CRBLO96_" localSheetId="11">#REF!</definedName>
    <definedName name="CRBLO96_" localSheetId="10">#REF!</definedName>
    <definedName name="CRBLO96_">#REF!</definedName>
    <definedName name="CRBLO97_" localSheetId="11">#REF!</definedName>
    <definedName name="CRBLO97_" localSheetId="10">#REF!</definedName>
    <definedName name="CRBLO97_">#REF!</definedName>
    <definedName name="CRBLO98_" localSheetId="11">#REF!</definedName>
    <definedName name="CRBLO98_" localSheetId="10">#REF!</definedName>
    <definedName name="CRBLO98_">#REF!</definedName>
    <definedName name="CRBLO99_" localSheetId="11">#REF!</definedName>
    <definedName name="CRBLO99_" localSheetId="10">#REF!</definedName>
    <definedName name="CRBLO99_">#REF!</definedName>
    <definedName name="CRCOMB00_" localSheetId="11">#REF!</definedName>
    <definedName name="CRCOMB00_" localSheetId="10">#REF!</definedName>
    <definedName name="CRCOMB00_">#REF!</definedName>
    <definedName name="CRCOMB93_" localSheetId="11">#REF!</definedName>
    <definedName name="CRCOMB93_" localSheetId="10">#REF!</definedName>
    <definedName name="CRCOMB93_">#REF!</definedName>
    <definedName name="CRCOMB94_" localSheetId="11">#REF!</definedName>
    <definedName name="CRCOMB94_" localSheetId="10">#REF!</definedName>
    <definedName name="CRCOMB94_">#REF!</definedName>
    <definedName name="CRCOMB95_" localSheetId="11">#REF!</definedName>
    <definedName name="CRCOMB95_" localSheetId="10">#REF!</definedName>
    <definedName name="CRCOMB95_">#REF!</definedName>
    <definedName name="CRCOMB96_" localSheetId="11">#REF!</definedName>
    <definedName name="CRCOMB96_" localSheetId="10">#REF!</definedName>
    <definedName name="CRCOMB96_">#REF!</definedName>
    <definedName name="CRCOMB97_" localSheetId="11">#REF!</definedName>
    <definedName name="CRCOMB97_" localSheetId="10">#REF!</definedName>
    <definedName name="CRCOMB97_">#REF!</definedName>
    <definedName name="CRCOMB98_" localSheetId="11">#REF!</definedName>
    <definedName name="CRCOMB98_" localSheetId="10">#REF!</definedName>
    <definedName name="CRCOMB98_">#REF!</definedName>
    <definedName name="CRCOMB99_" localSheetId="11">#REF!</definedName>
    <definedName name="CRCOMB99_" localSheetId="10">#REF!</definedName>
    <definedName name="CRCOMB99_">#REF!</definedName>
    <definedName name="CRDEM00_" localSheetId="11">#REF!</definedName>
    <definedName name="CRDEM00_" localSheetId="10">#REF!</definedName>
    <definedName name="CRDEM00_">#REF!</definedName>
    <definedName name="CRDEM93_" localSheetId="11">#REF!</definedName>
    <definedName name="CRDEM93_" localSheetId="10">#REF!</definedName>
    <definedName name="CRDEM93_">#REF!</definedName>
    <definedName name="CRDEM94_" localSheetId="11">#REF!</definedName>
    <definedName name="CRDEM94_" localSheetId="10">#REF!</definedName>
    <definedName name="CRDEM94_">#REF!</definedName>
    <definedName name="CRDEM95_" localSheetId="11">#REF!</definedName>
    <definedName name="CRDEM95_" localSheetId="10">#REF!</definedName>
    <definedName name="CRDEM95_">#REF!</definedName>
    <definedName name="CRDEM96_" localSheetId="11">#REF!</definedName>
    <definedName name="CRDEM96_" localSheetId="10">#REF!</definedName>
    <definedName name="CRDEM96_">#REF!</definedName>
    <definedName name="CRDEM97_" localSheetId="11">#REF!</definedName>
    <definedName name="CRDEM97_" localSheetId="10">#REF!</definedName>
    <definedName name="CRDEM97_">#REF!</definedName>
    <definedName name="CRDEM98_" localSheetId="11">#REF!</definedName>
    <definedName name="CRDEM98_" localSheetId="10">#REF!</definedName>
    <definedName name="CRDEM98_">#REF!</definedName>
    <definedName name="CRDEM99_" localSheetId="11">#REF!</definedName>
    <definedName name="CRDEM99_" localSheetId="10">#REF!</definedName>
    <definedName name="CRDEM99_">#REF!</definedName>
    <definedName name="CREUF00_" localSheetId="11">#REF!</definedName>
    <definedName name="CREUF00_" localSheetId="10">#REF!</definedName>
    <definedName name="CREUF00_">#REF!</definedName>
    <definedName name="CREUF93_" localSheetId="11">#REF!</definedName>
    <definedName name="CREUF93_" localSheetId="10">#REF!</definedName>
    <definedName name="CREUF93_">#REF!</definedName>
    <definedName name="CREUF94_" localSheetId="11">#REF!</definedName>
    <definedName name="CREUF94_" localSheetId="10">#REF!</definedName>
    <definedName name="CREUF94_">#REF!</definedName>
    <definedName name="CREUF95_" localSheetId="11">#REF!</definedName>
    <definedName name="CREUF95_" localSheetId="10">#REF!</definedName>
    <definedName name="CREUF95_">#REF!</definedName>
    <definedName name="CREUF96_" localSheetId="11">#REF!</definedName>
    <definedName name="CREUF96_" localSheetId="10">#REF!</definedName>
    <definedName name="CREUF96_">#REF!</definedName>
    <definedName name="CREUF97_" localSheetId="11">#REF!</definedName>
    <definedName name="CREUF97_" localSheetId="10">#REF!</definedName>
    <definedName name="CREUF97_">#REF!</definedName>
    <definedName name="CREUF98_" localSheetId="11">#REF!</definedName>
    <definedName name="CREUF98_" localSheetId="10">#REF!</definedName>
    <definedName name="CREUF98_">#REF!</definedName>
    <definedName name="CREUF99_" localSheetId="11">#REF!</definedName>
    <definedName name="CREUF99_" localSheetId="10">#REF!</definedName>
    <definedName name="CREUF99_">#REF!</definedName>
    <definedName name="cruce" localSheetId="11">#REF!</definedName>
    <definedName name="cruce" localSheetId="10">#REF!</definedName>
    <definedName name="cruce">#REF!</definedName>
    <definedName name="CRUCE2" localSheetId="11">#REF!</definedName>
    <definedName name="CRUCE2" localSheetId="10">#REF!</definedName>
    <definedName name="CRUCE2">#REF!</definedName>
    <definedName name="CRUCE3" localSheetId="11">#REF!</definedName>
    <definedName name="CRUCE3" localSheetId="10">#REF!</definedName>
    <definedName name="CRUCE3">#REF!</definedName>
    <definedName name="CUADRO_No._1" localSheetId="11">#REF!</definedName>
    <definedName name="CUADRO_No._1" localSheetId="10">#REF!</definedName>
    <definedName name="CUADRO_No._1">#REF!</definedName>
    <definedName name="CUADRO_No._10" localSheetId="11">#REF!</definedName>
    <definedName name="CUADRO_No._10" localSheetId="10">#REF!</definedName>
    <definedName name="CUADRO_No._10">#REF!</definedName>
    <definedName name="CUADRO_No._12" localSheetId="11">#REF!</definedName>
    <definedName name="CUADRO_No._12" localSheetId="10">#REF!</definedName>
    <definedName name="CUADRO_No._12">#REF!</definedName>
    <definedName name="CUADRO_No._13" localSheetId="11">#REF!</definedName>
    <definedName name="CUADRO_No._13" localSheetId="10">#REF!</definedName>
    <definedName name="CUADRO_No._13">#REF!</definedName>
    <definedName name="CUADRO_No._2" localSheetId="11">#REF!</definedName>
    <definedName name="CUADRO_No._2" localSheetId="10">#REF!</definedName>
    <definedName name="CUADRO_No._2">#REF!</definedName>
    <definedName name="CUADRO_No._3" localSheetId="11">#REF!</definedName>
    <definedName name="CUADRO_No._3" localSheetId="10">#REF!</definedName>
    <definedName name="CUADRO_No._3">#REF!</definedName>
    <definedName name="CUADRO_No._4" localSheetId="11">#REF!</definedName>
    <definedName name="CUADRO_No._4" localSheetId="10">#REF!</definedName>
    <definedName name="CUADRO_No._4">#REF!</definedName>
    <definedName name="CUADRO_No._5" localSheetId="11">#REF!</definedName>
    <definedName name="CUADRO_No._5" localSheetId="10">#REF!</definedName>
    <definedName name="CUADRO_No._5">#REF!</definedName>
    <definedName name="CUADRO_No._6" localSheetId="11">#REF!</definedName>
    <definedName name="CUADRO_No._6" localSheetId="10">#REF!</definedName>
    <definedName name="CUADRO_No._6">#REF!</definedName>
    <definedName name="CUADRO_No._6A" localSheetId="11">#REF!</definedName>
    <definedName name="CUADRO_No._6A" localSheetId="10">#REF!</definedName>
    <definedName name="CUADRO_No._6A">#REF!</definedName>
    <definedName name="CUADRO_No._7" localSheetId="11">#REF!</definedName>
    <definedName name="CUADRO_No._7" localSheetId="10">#REF!</definedName>
    <definedName name="CUADRO_No._7">#REF!</definedName>
    <definedName name="CUADRO_No._8" localSheetId="11">#REF!</definedName>
    <definedName name="CUADRO_No._8" localSheetId="10">#REF!</definedName>
    <definedName name="CUADRO_No._8">#REF!</definedName>
    <definedName name="CUADRO_No._9" localSheetId="11">#REF!</definedName>
    <definedName name="CUADRO_No._9" localSheetId="10">#REF!</definedName>
    <definedName name="CUADRO_No._9">#REF!</definedName>
    <definedName name="CUAINGRE" localSheetId="11">#REF!</definedName>
    <definedName name="CUAINGRE" localSheetId="10">#REF!</definedName>
    <definedName name="CUAINGRE">#REF!</definedName>
    <definedName name="DBALANCEFMI2" localSheetId="11">#REF!</definedName>
    <definedName name="DBALANCEFMI2" localSheetId="10">#REF!</definedName>
    <definedName name="DBALANCEFMI2">#REF!</definedName>
    <definedName name="DboREGISTRO_LEY_617" localSheetId="11">#REF!</definedName>
    <definedName name="DboREGISTRO_LEY_617" localSheetId="10">#REF!</definedName>
    <definedName name="DboREGISTRO_LEY_617">#REF!</definedName>
    <definedName name="DDD"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DD"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ebajo98" localSheetId="11">#REF!</definedName>
    <definedName name="debajo98" localSheetId="10">#REF!</definedName>
    <definedName name="debajo98">#REF!</definedName>
    <definedName name="DEPTO" localSheetId="11">#REF!</definedName>
    <definedName name="DEPTO" localSheetId="10">#REF!</definedName>
    <definedName name="DEPTO">#REF!</definedName>
    <definedName name="DEPTO_2002" localSheetId="11">#REF!</definedName>
    <definedName name="DEPTO_2002" localSheetId="10">#REF!</definedName>
    <definedName name="DEPTO_2002">#REF!</definedName>
    <definedName name="DETALLE1996" localSheetId="11">#REF!</definedName>
    <definedName name="DETALLE1996" localSheetId="10">#REF!</definedName>
    <definedName name="DETALLE1996">#REF!</definedName>
    <definedName name="DETALLE1997" localSheetId="11">#REF!</definedName>
    <definedName name="DETALLE1997" localSheetId="10">#REF!</definedName>
    <definedName name="DETALLE1997">#REF!</definedName>
    <definedName name="deuda" localSheetId="11">#REF!</definedName>
    <definedName name="deuda" localSheetId="10">#REF!</definedName>
    <definedName name="deuda">#REF!</definedName>
    <definedName name="DEUDA_FLOTANTE_1990_1998" localSheetId="11">#REF!</definedName>
    <definedName name="DEUDA_FLOTANTE_1990_1998" localSheetId="10">#REF!</definedName>
    <definedName name="DEUDA_FLOTANTE_1990_1998">#REF!</definedName>
    <definedName name="DIFERCOLUM00" localSheetId="11">#REF!</definedName>
    <definedName name="DIFERCOLUM00" localSheetId="10">#REF!</definedName>
    <definedName name="DIFERCOLUM00">#REF!</definedName>
    <definedName name="DIFERCOLUM01" localSheetId="11">#REF!</definedName>
    <definedName name="DIFERCOLUM01" localSheetId="10">#REF!</definedName>
    <definedName name="DIFERCOLUM01">#REF!</definedName>
    <definedName name="DIFERCOLUM02" localSheetId="11">#REF!</definedName>
    <definedName name="DIFERCOLUM02" localSheetId="10">#REF!</definedName>
    <definedName name="DIFERCOLUM02">#REF!</definedName>
    <definedName name="DIFERCOLUM99" localSheetId="11">#REF!</definedName>
    <definedName name="DIFERCOLUM99" localSheetId="10">#REF!</definedName>
    <definedName name="DIFERCOLUM99">#REF!</definedName>
    <definedName name="dos" localSheetId="11">#REF!</definedName>
    <definedName name="dos" localSheetId="10">#REF!</definedName>
    <definedName name="dos">#REF!</definedName>
    <definedName name="DPTOS" localSheetId="11">#REF!</definedName>
    <definedName name="DPTOS" localSheetId="10">#REF!</definedName>
    <definedName name="DPTOS">#REF!</definedName>
    <definedName name="ECOPETROLCRECIM" localSheetId="11">#REF!</definedName>
    <definedName name="ECOPETROLCRECIM" localSheetId="10">#REF!</definedName>
    <definedName name="ECOPETROLCRECIM">#REF!</definedName>
    <definedName name="ECOPETROLPESOS" localSheetId="11">#REF!</definedName>
    <definedName name="ECOPETROLPESOS" localSheetId="10">#REF!</definedName>
    <definedName name="ECOPETROLPESOS">#REF!</definedName>
    <definedName name="ECOPETROLPIB" localSheetId="11">#REF!</definedName>
    <definedName name="ECOPETROLPIB" localSheetId="10">#REF!</definedName>
    <definedName name="ECOPETROLPIB">#REF!</definedName>
    <definedName name="EDUCA_00" localSheetId="11">#REF!</definedName>
    <definedName name="EDUCA_00" localSheetId="10">#REF!</definedName>
    <definedName name="EDUCA_00">#REF!</definedName>
    <definedName name="EDUCA_01" localSheetId="11">#REF!</definedName>
    <definedName name="EDUCA_01" localSheetId="10">#REF!</definedName>
    <definedName name="EDUCA_01">#REF!</definedName>
    <definedName name="EDUCA_94" localSheetId="11">#REF!</definedName>
    <definedName name="EDUCA_94" localSheetId="10">#REF!</definedName>
    <definedName name="EDUCA_94">#REF!</definedName>
    <definedName name="EDUCA_95" localSheetId="11">#REF!</definedName>
    <definedName name="EDUCA_95" localSheetId="10">#REF!</definedName>
    <definedName name="EDUCA_95">#REF!</definedName>
    <definedName name="EDUCA_96" localSheetId="11">#REF!</definedName>
    <definedName name="EDUCA_96" localSheetId="10">#REF!</definedName>
    <definedName name="EDUCA_96">#REF!</definedName>
    <definedName name="EDUCA_97" localSheetId="11">#REF!</definedName>
    <definedName name="EDUCA_97" localSheetId="10">#REF!</definedName>
    <definedName name="EDUCA_97">#REF!</definedName>
    <definedName name="EDUCA_98" localSheetId="11">#REF!</definedName>
    <definedName name="EDUCA_98" localSheetId="10">#REF!</definedName>
    <definedName name="EDUCA_98">#REF!</definedName>
    <definedName name="EDUCA_99" localSheetId="11">#REF!</definedName>
    <definedName name="EDUCA_99" localSheetId="10">#REF!</definedName>
    <definedName name="EDUCA_99">#REF!</definedName>
    <definedName name="EGRAFICOS1" localSheetId="11">#REF!</definedName>
    <definedName name="EGRAFICOS1" localSheetId="10">#REF!</definedName>
    <definedName name="EGRAFICOS1">#REF!</definedName>
    <definedName name="EGRAFICOS2" localSheetId="11">#REF!</definedName>
    <definedName name="EGRAFICOS2" localSheetId="10">#REF!</definedName>
    <definedName name="EGRAFICOS2">#REF!</definedName>
    <definedName name="EGRAFICOS3" localSheetId="11">#REF!</definedName>
    <definedName name="EGRAFICOS3" localSheetId="10">#REF!</definedName>
    <definedName name="EGRAFICOS3">#REF!</definedName>
    <definedName name="ELASTICIDAD_RECAUDO_IVA" localSheetId="11">#REF!</definedName>
    <definedName name="ELASTICIDAD_RECAUDO_IVA" localSheetId="10">#REF!</definedName>
    <definedName name="ELASTICIDAD_RECAUDO_IVA">#REF!</definedName>
    <definedName name="ELECTRICOCRECIM" localSheetId="11">#REF!</definedName>
    <definedName name="ELECTRICOCRECIM" localSheetId="10">#REF!</definedName>
    <definedName name="ELECTRICOCRECIM">#REF!</definedName>
    <definedName name="ELECTRICOPESOS" localSheetId="11">#REF!</definedName>
    <definedName name="ELECTRICOPESOS" localSheetId="10">#REF!</definedName>
    <definedName name="ELECTRICOPESOS">#REF!</definedName>
    <definedName name="ELECTRICOPIB" localSheetId="11">#REF!</definedName>
    <definedName name="ELECTRICOPIB" localSheetId="10">#REF!</definedName>
    <definedName name="ELECTRICOPIB">#REF!</definedName>
    <definedName name="emppln" localSheetId="11">#REF!</definedName>
    <definedName name="emppln" localSheetId="10">#REF!</definedName>
    <definedName name="emppln">#REF!</definedName>
    <definedName name="encima98" localSheetId="11">#REF!</definedName>
    <definedName name="encima98" localSheetId="10">#REF!</definedName>
    <definedName name="encima98">#REF!</definedName>
    <definedName name="ENEROP" localSheetId="11">#REF!</definedName>
    <definedName name="ENEROP" localSheetId="10">#REF!</definedName>
    <definedName name="ENEROP">#REF!</definedName>
    <definedName name="ENERORN" localSheetId="11">#REF!</definedName>
    <definedName name="ENERORN" localSheetId="10">#REF!</definedName>
    <definedName name="ENERORN">#REF!</definedName>
    <definedName name="ENERORP" localSheetId="11">#REF!</definedName>
    <definedName name="ENERORP" localSheetId="10">#REF!</definedName>
    <definedName name="ENERORP">#REF!</definedName>
    <definedName name="ESCENARIO__0" localSheetId="11">#REF!</definedName>
    <definedName name="ESCENARIO__0" localSheetId="10">#REF!</definedName>
    <definedName name="ESCENARIO__0">#REF!</definedName>
    <definedName name="ESCENARIO__1" localSheetId="11">#REF!</definedName>
    <definedName name="ESCENARIO__1" localSheetId="10">#REF!</definedName>
    <definedName name="ESCENARIO__1">#REF!</definedName>
    <definedName name="ESCENARIO_1__Ajustado" localSheetId="11">#REF!</definedName>
    <definedName name="ESCENARIO_1__Ajustado" localSheetId="10">#REF!</definedName>
    <definedName name="ESCENARIO_1__Ajustado">#REF!</definedName>
    <definedName name="ESCENARIO_2" localSheetId="11">#REF!</definedName>
    <definedName name="ESCENARIO_2" localSheetId="10">#REF!</definedName>
    <definedName name="ESCENARIO_2">#REF!</definedName>
    <definedName name="ESCENARIO_3" localSheetId="11">#REF!</definedName>
    <definedName name="ESCENARIO_3" localSheetId="10">#REF!</definedName>
    <definedName name="ESCENARIO_3">#REF!</definedName>
    <definedName name="ESCENARIO_NUEVO" localSheetId="11">#REF!</definedName>
    <definedName name="ESCENARIO_NUEVO" localSheetId="10">#REF!</definedName>
    <definedName name="ESCENARIO_NUEVO">#REF!</definedName>
    <definedName name="estimaciones" localSheetId="11">#REF!</definedName>
    <definedName name="estimaciones" localSheetId="10">#REF!</definedName>
    <definedName name="estimaciones">#REF!</definedName>
    <definedName name="Excel_BuiltIn__FilterDatabase_3" localSheetId="11">#REF!</definedName>
    <definedName name="Excel_BuiltIn__FilterDatabase_3" localSheetId="10">#REF!</definedName>
    <definedName name="Excel_BuiltIn__FilterDatabase_3">#REF!</definedName>
    <definedName name="FEBREROP" localSheetId="11">#REF!</definedName>
    <definedName name="FEBREROP" localSheetId="10">#REF!</definedName>
    <definedName name="FEBREROP">#REF!</definedName>
    <definedName name="FEBRERORN" localSheetId="11">#REF!</definedName>
    <definedName name="FEBRERORN" localSheetId="10">#REF!</definedName>
    <definedName name="FEBRERORN">#REF!</definedName>
    <definedName name="FEBRERORP" localSheetId="11">#REF!</definedName>
    <definedName name="FEBRERORP" localSheetId="10">#REF!</definedName>
    <definedName name="FEBRERORP">#REF!</definedName>
    <definedName name="ffff" localSheetId="10" hidden="1">{TRUE,TRUE,-2.75,-17.75,483,276.75,FALSE,TRUE,TRUE,TRUE,0,3,15,1,110,11,8,4,TRUE,TRUE,3,TRUE,1,TRUE,75,"Swvu.EneFeb.","ACwvu.EneFeb.",#N/A,FALSE,FALSE,1.24,0.787401575,0.74,0.984251969,1,"","",FALSE,FALSE,FALSE,FALSE,1,#N/A,1,1,#DIV/0!,FALSE,"Rwvu.EneFeb.","Cwvu.EneFeb.",FALSE,FALSE,FALSE,1,300,300,FALSE,FALSE,TRUE,TRUE,TRUE}</definedName>
    <definedName name="ffff" hidden="1">{TRUE,TRUE,-2.75,-17.75,483,276.75,FALSE,TRUE,TRUE,TRUE,0,3,15,1,110,11,8,4,TRUE,TRUE,3,TRUE,1,TRUE,75,"Swvu.EneFeb.","ACwvu.EneFeb.",#N/A,FALSE,FALSE,1.24,0.787401575,0.74,0.984251969,1,"","",FALSE,FALSE,FALSE,FALSE,1,#N/A,1,1,#DIV/0!,FALSE,"Rwvu.EneFeb.","Cwvu.EneFeb.",FALSE,FALSE,FALSE,1,300,300,FALSE,FALSE,TRUE,TRUE,TRUE}</definedName>
    <definedName name="FFPPT" localSheetId="11">#REF!</definedName>
    <definedName name="FFPPT" localSheetId="10">#REF!</definedName>
    <definedName name="FFPPT">#REF!</definedName>
    <definedName name="FNCCRECIM" localSheetId="11">#REF!</definedName>
    <definedName name="FNCCRECIM" localSheetId="10">#REF!</definedName>
    <definedName name="FNCCRECIM">#REF!</definedName>
    <definedName name="FNCPESOS" localSheetId="11">#REF!</definedName>
    <definedName name="FNCPESOS" localSheetId="10">#REF!</definedName>
    <definedName name="FNCPESOS">#REF!</definedName>
    <definedName name="FNCPIB" localSheetId="11">#REF!</definedName>
    <definedName name="FNCPIB" localSheetId="10">#REF!</definedName>
    <definedName name="FNCPIB">#REF!</definedName>
    <definedName name="FONPET2000" localSheetId="11">#REF!</definedName>
    <definedName name="FONPET2000" localSheetId="10">#REF!</definedName>
    <definedName name="FONPET2000">#REF!</definedName>
    <definedName name="FONPET2001" localSheetId="11">#REF!</definedName>
    <definedName name="FONPET2001" localSheetId="10">#REF!</definedName>
    <definedName name="FONPET2001">#REF!</definedName>
    <definedName name="FONPET2002" localSheetId="11">#REF!</definedName>
    <definedName name="FONPET2002" localSheetId="10">#REF!</definedName>
    <definedName name="FONPET2002">#REF!</definedName>
    <definedName name="FONPET2003" localSheetId="11">#REF!</definedName>
    <definedName name="FONPET2003" localSheetId="10">#REF!</definedName>
    <definedName name="FONPET2003">#REF!</definedName>
    <definedName name="FONPET2004" localSheetId="11">#REF!</definedName>
    <definedName name="FONPET2004" localSheetId="10">#REF!</definedName>
    <definedName name="FONPET2004">#REF!</definedName>
    <definedName name="FONPET2005" localSheetId="11">#REF!</definedName>
    <definedName name="FONPET2005" localSheetId="10">#REF!</definedName>
    <definedName name="FONPET2005">#REF!</definedName>
    <definedName name="FONPETOTAL"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NPETOTAL"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gasrep" localSheetId="11">#REF!</definedName>
    <definedName name="gasrep" localSheetId="10">#REF!</definedName>
    <definedName name="gasrep">#REF!</definedName>
    <definedName name="Gastos_generales" localSheetId="11">#REF!</definedName>
    <definedName name="Gastos_generales" localSheetId="10">#REF!</definedName>
    <definedName name="Gastos_generales">#REF!</definedName>
    <definedName name="GOBIERNOCRECIM" localSheetId="11">#REF!</definedName>
    <definedName name="GOBIERNOCRECIM" localSheetId="10">#REF!</definedName>
    <definedName name="GOBIERNOCRECIM">#REF!</definedName>
    <definedName name="GOBIERNOPESOS" localSheetId="11">#REF!</definedName>
    <definedName name="GOBIERNOPESOS" localSheetId="10">#REF!</definedName>
    <definedName name="GOBIERNOPESOS">#REF!</definedName>
    <definedName name="GOBIERNOPIB" localSheetId="11">#REF!</definedName>
    <definedName name="GOBIERNOPIB" localSheetId="10">#REF!</definedName>
    <definedName name="GOBIERNOPIB">#REF!</definedName>
    <definedName name="GREFORMASRESUM1" localSheetId="11">#REF!</definedName>
    <definedName name="GREFORMASRESUM1" localSheetId="10">#REF!</definedName>
    <definedName name="GREFORMASRESUM1">#REF!</definedName>
    <definedName name="GREFORMASRESUM2" localSheetId="11">#REF!</definedName>
    <definedName name="GREFORMASRESUM2" localSheetId="10">#REF!</definedName>
    <definedName name="GREFORMASRESUM2">#REF!</definedName>
    <definedName name="GREFORMASRESUM3" localSheetId="11">#REF!</definedName>
    <definedName name="GREFORMASRESUM3" localSheetId="10">#REF!</definedName>
    <definedName name="GREFORMASRESUM3">#REF!</definedName>
    <definedName name="horext" localSheetId="11">#REF!</definedName>
    <definedName name="horext" localSheetId="10">#REF!</definedName>
    <definedName name="horext">#REF!</definedName>
    <definedName name="I" localSheetId="11">#REF!</definedName>
    <definedName name="I" localSheetId="10">#REF!</definedName>
    <definedName name="I">#REF!</definedName>
    <definedName name="IN00_" localSheetId="11">#REF!</definedName>
    <definedName name="IN00_" localSheetId="10">#REF!</definedName>
    <definedName name="IN00_">#REF!</definedName>
    <definedName name="IN93_" localSheetId="11">#REF!</definedName>
    <definedName name="IN93_" localSheetId="10">#REF!</definedName>
    <definedName name="IN93_">#REF!</definedName>
    <definedName name="IN94_" localSheetId="11">#REF!</definedName>
    <definedName name="IN94_" localSheetId="10">#REF!</definedName>
    <definedName name="IN94_">#REF!</definedName>
    <definedName name="IN95_" localSheetId="11">#REF!</definedName>
    <definedName name="IN95_" localSheetId="10">#REF!</definedName>
    <definedName name="IN95_">#REF!</definedName>
    <definedName name="IN96_" localSheetId="11">#REF!</definedName>
    <definedName name="IN96_" localSheetId="10">#REF!</definedName>
    <definedName name="IN96_">#REF!</definedName>
    <definedName name="IN97_" localSheetId="11">#REF!</definedName>
    <definedName name="IN97_" localSheetId="10">#REF!</definedName>
    <definedName name="IN97_">#REF!</definedName>
    <definedName name="IN98_" localSheetId="11">#REF!</definedName>
    <definedName name="IN98_" localSheetId="10">#REF!</definedName>
    <definedName name="IN98_">#REF!</definedName>
    <definedName name="IN99_" localSheetId="11">#REF!</definedName>
    <definedName name="IN99_" localSheetId="10">#REF!</definedName>
    <definedName name="IN99_">#REF!</definedName>
    <definedName name="INCGG00_" localSheetId="11">#REF!</definedName>
    <definedName name="INCGG00_" localSheetId="10">#REF!</definedName>
    <definedName name="INCGG00_">#REF!</definedName>
    <definedName name="INCGG93_" localSheetId="11">#REF!</definedName>
    <definedName name="INCGG93_" localSheetId="10">#REF!</definedName>
    <definedName name="INCGG93_">#REF!</definedName>
    <definedName name="INCGG94_" localSheetId="11">#REF!</definedName>
    <definedName name="INCGG94_" localSheetId="10">#REF!</definedName>
    <definedName name="INCGG94_">#REF!</definedName>
    <definedName name="INCGG95_" localSheetId="11">#REF!</definedName>
    <definedName name="INCGG95_" localSheetId="10">#REF!</definedName>
    <definedName name="INCGG95_">#REF!</definedName>
    <definedName name="INCGG96_" localSheetId="11">#REF!</definedName>
    <definedName name="INCGG96_" localSheetId="10">#REF!</definedName>
    <definedName name="INCGG96_">#REF!</definedName>
    <definedName name="INCGG97_" localSheetId="11">#REF!</definedName>
    <definedName name="INCGG97_" localSheetId="10">#REF!</definedName>
    <definedName name="INCGG97_">#REF!</definedName>
    <definedName name="INCGG98_" localSheetId="11">#REF!</definedName>
    <definedName name="INCGG98_" localSheetId="10">#REF!</definedName>
    <definedName name="INCGG98_">#REF!</definedName>
    <definedName name="INCGG99_" localSheetId="11">#REF!</definedName>
    <definedName name="INCGG99_" localSheetId="10">#REF!</definedName>
    <definedName name="INCGG99_">#REF!</definedName>
    <definedName name="INCSP00_" localSheetId="11">#REF!</definedName>
    <definedName name="INCSP00_" localSheetId="10">#REF!</definedName>
    <definedName name="INCSP00_">#REF!</definedName>
    <definedName name="INCSP93_" localSheetId="11">#REF!</definedName>
    <definedName name="INCSP93_" localSheetId="10">#REF!</definedName>
    <definedName name="INCSP93_">#REF!</definedName>
    <definedName name="INCSP94_" localSheetId="11">#REF!</definedName>
    <definedName name="INCSP94_" localSheetId="10">#REF!</definedName>
    <definedName name="INCSP94_">#REF!</definedName>
    <definedName name="INCSP95_" localSheetId="11">#REF!</definedName>
    <definedName name="INCSP95_" localSheetId="10">#REF!</definedName>
    <definedName name="INCSP95_">#REF!</definedName>
    <definedName name="INCSP96_" localSheetId="11">#REF!</definedName>
    <definedName name="INCSP96_" localSheetId="10">#REF!</definedName>
    <definedName name="INCSP96_">#REF!</definedName>
    <definedName name="INCSP97_" localSheetId="11">#REF!</definedName>
    <definedName name="INCSP97_" localSheetId="10">#REF!</definedName>
    <definedName name="INCSP97_">#REF!</definedName>
    <definedName name="INCSP98_" localSheetId="11">#REF!</definedName>
    <definedName name="INCSP98_" localSheetId="10">#REF!</definedName>
    <definedName name="INCSP98_">#REF!</definedName>
    <definedName name="INCSP99_" localSheetId="11">#REF!</definedName>
    <definedName name="INCSP99_" localSheetId="10">#REF!</definedName>
    <definedName name="INCSP99_">#REF!</definedName>
    <definedName name="INCTRAN00_" localSheetId="11">#REF!</definedName>
    <definedName name="INCTRAN00_" localSheetId="10">#REF!</definedName>
    <definedName name="INCTRAN00_">#REF!</definedName>
    <definedName name="INCTRAN93_" localSheetId="11">#REF!</definedName>
    <definedName name="INCTRAN93_" localSheetId="10">#REF!</definedName>
    <definedName name="INCTRAN93_">#REF!</definedName>
    <definedName name="INCTRAN94_" localSheetId="11">#REF!</definedName>
    <definedName name="INCTRAN94_" localSheetId="10">#REF!</definedName>
    <definedName name="INCTRAN94_">#REF!</definedName>
    <definedName name="INCTRAN95_" localSheetId="11">#REF!</definedName>
    <definedName name="INCTRAN95_" localSheetId="10">#REF!</definedName>
    <definedName name="INCTRAN95_">#REF!</definedName>
    <definedName name="INCTRAN96_" localSheetId="11">#REF!</definedName>
    <definedName name="INCTRAN96_" localSheetId="10">#REF!</definedName>
    <definedName name="INCTRAN96_">#REF!</definedName>
    <definedName name="INCTRAN97_" localSheetId="11">#REF!</definedName>
    <definedName name="INCTRAN97_" localSheetId="10">#REF!</definedName>
    <definedName name="INCTRAN97_">#REF!</definedName>
    <definedName name="INCTRAN98_" localSheetId="11">#REF!</definedName>
    <definedName name="INCTRAN98_" localSheetId="10">#REF!</definedName>
    <definedName name="INCTRAN98_">#REF!</definedName>
    <definedName name="INCTRAN99_" localSheetId="11">#REF!</definedName>
    <definedName name="INCTRAN99_" localSheetId="10">#REF!</definedName>
    <definedName name="INCTRAN99_">#REF!</definedName>
    <definedName name="ingapr" localSheetId="11">#REF!</definedName>
    <definedName name="ingapr" localSheetId="10">#REF!</definedName>
    <definedName name="ingapr">#REF!</definedName>
    <definedName name="ingbas" localSheetId="11">#REF!</definedName>
    <definedName name="ingbas" localSheetId="10">#REF!</definedName>
    <definedName name="ingbas">#REF!</definedName>
    <definedName name="ingest" localSheetId="11">#REF!</definedName>
    <definedName name="ingest" localSheetId="10">#REF!</definedName>
    <definedName name="ingest">#REF!</definedName>
    <definedName name="ingprg" localSheetId="11">#REF!</definedName>
    <definedName name="ingprg" localSheetId="10">#REF!</definedName>
    <definedName name="ingprg">#REF!</definedName>
    <definedName name="ingresos" localSheetId="11">#REF!</definedName>
    <definedName name="ingresos" localSheetId="10">#REF!</definedName>
    <definedName name="ingresos">#REF!</definedName>
    <definedName name="INGRESOS_DE_LA_NACION__1996_REAL__1997_ESTIMACION_Y_1998_PROYECCION" localSheetId="11">#REF!</definedName>
    <definedName name="INGRESOS_DE_LA_NACION__1996_REAL__1997_ESTIMACION_Y_1998_PROYECCION" localSheetId="10">#REF!</definedName>
    <definedName name="INGRESOS_DE_LA_NACION__1996_REAL__1997_ESTIMACION_Y_1998_PROYECCION">#REF!</definedName>
    <definedName name="ingresos97" localSheetId="11">#REF!</definedName>
    <definedName name="ingresos97" localSheetId="10">#REF!</definedName>
    <definedName name="ingresos97">#REF!</definedName>
    <definedName name="ingsol" localSheetId="11">#REF!</definedName>
    <definedName name="ingsol" localSheetId="10">#REF!</definedName>
    <definedName name="ingsol">#REF!</definedName>
    <definedName name="KBALANCEVSFMI" localSheetId="11">#REF!</definedName>
    <definedName name="KBALANCEVSFMI" localSheetId="10">#REF!</definedName>
    <definedName name="KBALANCEVSFMI">#REF!</definedName>
    <definedName name="LIBRE_00" localSheetId="11">#REF!</definedName>
    <definedName name="LIBRE_00" localSheetId="10">#REF!</definedName>
    <definedName name="LIBRE_00">#REF!</definedName>
    <definedName name="LIBRE_01_RESERVA" localSheetId="11">#REF!</definedName>
    <definedName name="LIBRE_01_RESERVA" localSheetId="10">#REF!</definedName>
    <definedName name="LIBRE_01_RESERVA">#REF!</definedName>
    <definedName name="LIBRE_02" localSheetId="11">#REF!</definedName>
    <definedName name="LIBRE_02" localSheetId="10">#REF!</definedName>
    <definedName name="LIBRE_02">#REF!</definedName>
    <definedName name="LIBRE_94" localSheetId="11">#REF!</definedName>
    <definedName name="LIBRE_94" localSheetId="10">#REF!</definedName>
    <definedName name="LIBRE_94">#REF!</definedName>
    <definedName name="LIBRE_95" localSheetId="11">#REF!</definedName>
    <definedName name="LIBRE_95" localSheetId="10">#REF!</definedName>
    <definedName name="LIBRE_95">#REF!</definedName>
    <definedName name="LIBRE_96" localSheetId="11">#REF!</definedName>
    <definedName name="LIBRE_96" localSheetId="10">#REF!</definedName>
    <definedName name="LIBRE_96">#REF!</definedName>
    <definedName name="LIBRE_97" localSheetId="11">#REF!</definedName>
    <definedName name="LIBRE_97" localSheetId="10">#REF!</definedName>
    <definedName name="LIBRE_97">#REF!</definedName>
    <definedName name="LIBRE_98" localSheetId="11">#REF!</definedName>
    <definedName name="LIBRE_98" localSheetId="10">#REF!</definedName>
    <definedName name="LIBRE_98">#REF!</definedName>
    <definedName name="LIBRE_99" localSheetId="11">#REF!</definedName>
    <definedName name="LIBRE_99" localSheetId="10">#REF!</definedName>
    <definedName name="LIBRE_99">#REF!</definedName>
    <definedName name="liqui" localSheetId="11">#REF!</definedName>
    <definedName name="liqui" localSheetId="10">#REF!</definedName>
    <definedName name="liqui">#REF!</definedName>
    <definedName name="LPORTADASECTOR" localSheetId="11">#REF!</definedName>
    <definedName name="LPORTADASECTOR" localSheetId="10">#REF!</definedName>
    <definedName name="LPORTADASECTOR">#REF!</definedName>
    <definedName name="MACRO" localSheetId="11">#REF!</definedName>
    <definedName name="MACRO" localSheetId="10">#REF!</definedName>
    <definedName name="MACRO">#REF!</definedName>
    <definedName name="MARZOP" localSheetId="11">#REF!</definedName>
    <definedName name="MARZOP" localSheetId="10">#REF!</definedName>
    <definedName name="MARZOP">#REF!</definedName>
    <definedName name="MARZORN" localSheetId="11">#REF!</definedName>
    <definedName name="MARZORN" localSheetId="10">#REF!</definedName>
    <definedName name="MARZORN">#REF!</definedName>
    <definedName name="MARZORP" localSheetId="11">#REF!</definedName>
    <definedName name="MARZORP" localSheetId="10">#REF!</definedName>
    <definedName name="MARZORP">#REF!</definedName>
    <definedName name="METROCRECIM" localSheetId="11">#REF!</definedName>
    <definedName name="METROCRECIM" localSheetId="10">#REF!</definedName>
    <definedName name="METROCRECIM">#REF!</definedName>
    <definedName name="METROPESOS" localSheetId="11">#REF!</definedName>
    <definedName name="METROPESOS" localSheetId="10">#REF!</definedName>
    <definedName name="METROPESOS">#REF!</definedName>
    <definedName name="METROPIB" localSheetId="11">#REF!</definedName>
    <definedName name="METROPIB" localSheetId="10">#REF!</definedName>
    <definedName name="METROPIB">#REF!</definedName>
    <definedName name="MUNICIPIO" localSheetId="11">#REF!</definedName>
    <definedName name="MUNICIPIO" localSheetId="10">#REF!</definedName>
    <definedName name="MUNICIPIO">#REF!</definedName>
    <definedName name="NACION" localSheetId="11">#REF!</definedName>
    <definedName name="NACION" localSheetId="10">#REF!</definedName>
    <definedName name="NACION">#REF!</definedName>
    <definedName name="NBI_MPIO" localSheetId="11">#REF!</definedName>
    <definedName name="NBI_MPIO" localSheetId="10">#REF!</definedName>
    <definedName name="NBI_MPIO">#REF!</definedName>
    <definedName name="nivel" localSheetId="11">#REF!</definedName>
    <definedName name="nivel" localSheetId="10">#REF!</definedName>
    <definedName name="nivel">#REF!</definedName>
    <definedName name="NOINCLUIDCRECIM" localSheetId="11">#REF!</definedName>
    <definedName name="NOINCLUIDCRECIM" localSheetId="10">#REF!</definedName>
    <definedName name="NOINCLUIDCRECIM">#REF!</definedName>
    <definedName name="NOINCLUIPESOS" localSheetId="11">#REF!</definedName>
    <definedName name="NOINCLUIPESOS" localSheetId="10">#REF!</definedName>
    <definedName name="NOINCLUIPESOS">#REF!</definedName>
    <definedName name="nomniv" localSheetId="11">#REF!</definedName>
    <definedName name="nomniv" localSheetId="10">#REF!</definedName>
    <definedName name="nomniv">#REF!</definedName>
    <definedName name="NOVDEUDAFLOTANTE" localSheetId="11">#REF!</definedName>
    <definedName name="NOVDEUDAFLOTANTE" localSheetId="10">#REF!</definedName>
    <definedName name="NOVDEUDAFLOTANTE">#REF!</definedName>
    <definedName name="NOVEVOLREZAGO" localSheetId="11">#REF!</definedName>
    <definedName name="NOVEVOLREZAGO" localSheetId="10">#REF!</definedName>
    <definedName name="NOVEVOLREZAGO">#REF!</definedName>
    <definedName name="OE97B" localSheetId="11">#REF!</definedName>
    <definedName name="OE97B" localSheetId="10">#REF!</definedName>
    <definedName name="OE97B">#REF!</definedName>
    <definedName name="OEPROY97" localSheetId="11">#REF!</definedName>
    <definedName name="OEPROY97" localSheetId="10">#REF!</definedName>
    <definedName name="OEPROY97">#REF!</definedName>
    <definedName name="opetesore00" localSheetId="11">#REF!</definedName>
    <definedName name="opetesore00" localSheetId="10">#REF!</definedName>
    <definedName name="opetesore00">#REF!</definedName>
    <definedName name="opetesore98" localSheetId="11">#REF!</definedName>
    <definedName name="opetesore98" localSheetId="10">#REF!</definedName>
    <definedName name="opetesore98">#REF!</definedName>
    <definedName name="opetesore99" localSheetId="11">#REF!</definedName>
    <definedName name="opetesore99" localSheetId="10">#REF!</definedName>
    <definedName name="opetesore99">#REF!</definedName>
    <definedName name="PAGOPROM00_" localSheetId="11">#REF!</definedName>
    <definedName name="PAGOPROM00_" localSheetId="10">#REF!</definedName>
    <definedName name="PAGOPROM00_">#REF!</definedName>
    <definedName name="PAGOPROM93_" localSheetId="11">#REF!</definedName>
    <definedName name="PAGOPROM93_" localSheetId="10">#REF!</definedName>
    <definedName name="PAGOPROM93_">#REF!</definedName>
    <definedName name="PAGOPROM94_" localSheetId="11">#REF!</definedName>
    <definedName name="PAGOPROM94_" localSheetId="10">#REF!</definedName>
    <definedName name="PAGOPROM94_">#REF!</definedName>
    <definedName name="PAGOPROM95_" localSheetId="11">#REF!</definedName>
    <definedName name="PAGOPROM95_" localSheetId="10">#REF!</definedName>
    <definedName name="PAGOPROM95_">#REF!</definedName>
    <definedName name="PAGOPROM96_" localSheetId="11">#REF!</definedName>
    <definedName name="PAGOPROM96_" localSheetId="10">#REF!</definedName>
    <definedName name="PAGOPROM96_">#REF!</definedName>
    <definedName name="PAGOPROM97_" localSheetId="11">#REF!</definedName>
    <definedName name="PAGOPROM97_" localSheetId="10">#REF!</definedName>
    <definedName name="PAGOPROM97_">#REF!</definedName>
    <definedName name="PAGOPROM98_" localSheetId="11">#REF!</definedName>
    <definedName name="PAGOPROM98_" localSheetId="10">#REF!</definedName>
    <definedName name="PAGOPROM98_">#REF!</definedName>
    <definedName name="PAGOPROM99_" localSheetId="11">#REF!</definedName>
    <definedName name="PAGOPROM99_" localSheetId="10">#REF!</definedName>
    <definedName name="PAGOPROM99_">#REF!</definedName>
    <definedName name="PERNOTEC00_" localSheetId="11">#REF!</definedName>
    <definedName name="PERNOTEC00_" localSheetId="10">#REF!</definedName>
    <definedName name="PERNOTEC00_">#REF!</definedName>
    <definedName name="PERNOTEC93_" localSheetId="11">#REF!</definedName>
    <definedName name="PERNOTEC93_" localSheetId="10">#REF!</definedName>
    <definedName name="PERNOTEC93_">#REF!</definedName>
    <definedName name="PERNOTEC94_" localSheetId="11">#REF!</definedName>
    <definedName name="PERNOTEC94_" localSheetId="10">#REF!</definedName>
    <definedName name="PERNOTEC94_">#REF!</definedName>
    <definedName name="PERNOTEC95_" localSheetId="11">#REF!</definedName>
    <definedName name="PERNOTEC95_" localSheetId="10">#REF!</definedName>
    <definedName name="PERNOTEC95_">#REF!</definedName>
    <definedName name="PERNOTEC96_" localSheetId="11">#REF!</definedName>
    <definedName name="PERNOTEC96_" localSheetId="10">#REF!</definedName>
    <definedName name="PERNOTEC96_">#REF!</definedName>
    <definedName name="PERNOTEC97_" localSheetId="11">#REF!</definedName>
    <definedName name="PERNOTEC97_" localSheetId="10">#REF!</definedName>
    <definedName name="PERNOTEC97_">#REF!</definedName>
    <definedName name="PERNOTEC98_" localSheetId="11">#REF!</definedName>
    <definedName name="PERNOTEC98_" localSheetId="10">#REF!</definedName>
    <definedName name="PERNOTEC98_">#REF!</definedName>
    <definedName name="PERNOTEC99_" localSheetId="11">#REF!</definedName>
    <definedName name="PERNOTEC99_" localSheetId="10">#REF!</definedName>
    <definedName name="PERNOTEC99_">#REF!</definedName>
    <definedName name="PEROTRA00_" localSheetId="11">#REF!</definedName>
    <definedName name="PEROTRA00_" localSheetId="10">#REF!</definedName>
    <definedName name="PEROTRA00_">#REF!</definedName>
    <definedName name="PEROTRA93_" localSheetId="11">#REF!</definedName>
    <definedName name="PEROTRA93_" localSheetId="10">#REF!</definedName>
    <definedName name="PEROTRA93_">#REF!</definedName>
    <definedName name="PEROTRA94_" localSheetId="11">#REF!</definedName>
    <definedName name="PEROTRA94_" localSheetId="10">#REF!</definedName>
    <definedName name="PEROTRA94_">#REF!</definedName>
    <definedName name="PEROTRA95_" localSheetId="11">#REF!</definedName>
    <definedName name="PEROTRA95_" localSheetId="10">#REF!</definedName>
    <definedName name="PEROTRA95_">#REF!</definedName>
    <definedName name="PEROTRA96_" localSheetId="11">#REF!</definedName>
    <definedName name="PEROTRA96_" localSheetId="10">#REF!</definedName>
    <definedName name="PEROTRA96_">#REF!</definedName>
    <definedName name="PEROTRA97_" localSheetId="11">#REF!</definedName>
    <definedName name="PEROTRA97_" localSheetId="10">#REF!</definedName>
    <definedName name="PEROTRA97_">#REF!</definedName>
    <definedName name="PEROTRA98_" localSheetId="11">#REF!</definedName>
    <definedName name="PEROTRA98_" localSheetId="10">#REF!</definedName>
    <definedName name="PEROTRA98_">#REF!</definedName>
    <definedName name="PEROTRA99_" localSheetId="11">#REF!</definedName>
    <definedName name="PEROTRA99_" localSheetId="10">#REF!</definedName>
    <definedName name="PEROTRA99_">#REF!</definedName>
    <definedName name="PERTRANS00_" localSheetId="11">#REF!</definedName>
    <definedName name="PERTRANS00_" localSheetId="10">#REF!</definedName>
    <definedName name="PERTRANS00_">#REF!</definedName>
    <definedName name="PERTRANS93_" localSheetId="11">#REF!</definedName>
    <definedName name="PERTRANS93_" localSheetId="10">#REF!</definedName>
    <definedName name="PERTRANS93_">#REF!</definedName>
    <definedName name="PERTRANS94_" localSheetId="11">#REF!</definedName>
    <definedName name="PERTRANS94_" localSheetId="10">#REF!</definedName>
    <definedName name="PERTRANS94_">#REF!</definedName>
    <definedName name="PERTRANS95_" localSheetId="11">#REF!</definedName>
    <definedName name="PERTRANS95_" localSheetId="10">#REF!</definedName>
    <definedName name="PERTRANS95_">#REF!</definedName>
    <definedName name="PERTRANS96_" localSheetId="11">#REF!</definedName>
    <definedName name="PERTRANS96_" localSheetId="10">#REF!</definedName>
    <definedName name="PERTRANS96_">#REF!</definedName>
    <definedName name="PERTRANS97_" localSheetId="11">#REF!</definedName>
    <definedName name="PERTRANS97_" localSheetId="10">#REF!</definedName>
    <definedName name="PERTRANS97_">#REF!</definedName>
    <definedName name="PERTRANS98_" localSheetId="11">#REF!</definedName>
    <definedName name="PERTRANS98_" localSheetId="10">#REF!</definedName>
    <definedName name="PERTRANS98_">#REF!</definedName>
    <definedName name="PERTRANS99_" localSheetId="11">#REF!</definedName>
    <definedName name="PERTRANS99_" localSheetId="10">#REF!</definedName>
    <definedName name="PERTRANS99_">#REF!</definedName>
    <definedName name="PIB" localSheetId="11">#REF!</definedName>
    <definedName name="PIB" localSheetId="10">#REF!</definedName>
    <definedName name="PIB">#REF!</definedName>
    <definedName name="PICN_00_REAF_98" localSheetId="11">#REF!</definedName>
    <definedName name="PICN_00_REAF_98" localSheetId="10">#REF!</definedName>
    <definedName name="PICN_00_REAF_98">#REF!</definedName>
    <definedName name="PICN_01_RESERVA" localSheetId="11">#REF!</definedName>
    <definedName name="PICN_01_RESERVA" localSheetId="10">#REF!</definedName>
    <definedName name="PICN_01_RESERVA">#REF!</definedName>
    <definedName name="PICN_94" localSheetId="11">#REF!</definedName>
    <definedName name="PICN_94" localSheetId="10">#REF!</definedName>
    <definedName name="PICN_94">#REF!</definedName>
    <definedName name="PICN_95" localSheetId="11">#REF!</definedName>
    <definedName name="PICN_95" localSheetId="10">#REF!</definedName>
    <definedName name="PICN_95">#REF!</definedName>
    <definedName name="PICN_96" localSheetId="11">#REF!</definedName>
    <definedName name="PICN_96" localSheetId="10">#REF!</definedName>
    <definedName name="PICN_96">#REF!</definedName>
    <definedName name="PICN_97" localSheetId="11">#REF!</definedName>
    <definedName name="PICN_97" localSheetId="10">#REF!</definedName>
    <definedName name="PICN_97">#REF!</definedName>
    <definedName name="PICN_98" localSheetId="11">#REF!</definedName>
    <definedName name="PICN_98" localSheetId="10">#REF!</definedName>
    <definedName name="PICN_98">#REF!</definedName>
    <definedName name="PICN_99_REF_97" localSheetId="11">#REF!</definedName>
    <definedName name="PICN_99_REF_97" localSheetId="10">#REF!</definedName>
    <definedName name="PICN_99_REF_97">#REF!</definedName>
    <definedName name="Plano" localSheetId="11">#REF!</definedName>
    <definedName name="Plano">#REF!</definedName>
    <definedName name="PPTO97" localSheetId="11">#REF!</definedName>
    <definedName name="PPTO97" localSheetId="10">#REF!</definedName>
    <definedName name="PPTO97">#REF!</definedName>
    <definedName name="PRESUPUESTO__1998" localSheetId="11">#REF!</definedName>
    <definedName name="PRESUPUESTO__1998" localSheetId="10">#REF!</definedName>
    <definedName name="PRESUPUESTO__1998">#REF!</definedName>
    <definedName name="primant" localSheetId="11">#REF!</definedName>
    <definedName name="primant" localSheetId="10">#REF!</definedName>
    <definedName name="primant">#REF!</definedName>
    <definedName name="primnav" localSheetId="11">#REF!</definedName>
    <definedName name="primnav" localSheetId="10">#REF!</definedName>
    <definedName name="primnav">#REF!</definedName>
    <definedName name="primser" localSheetId="11">#REF!</definedName>
    <definedName name="primser" localSheetId="10">#REF!</definedName>
    <definedName name="primser">#REF!</definedName>
    <definedName name="primtec" localSheetId="11">#REF!</definedName>
    <definedName name="primtec" localSheetId="10">#REF!</definedName>
    <definedName name="primtec">#REF!</definedName>
    <definedName name="primvac" localSheetId="11">#REF!</definedName>
    <definedName name="primvac" localSheetId="10">#REF!</definedName>
    <definedName name="primvac">#REF!</definedName>
    <definedName name="PROPIOS" localSheetId="11">#REF!</definedName>
    <definedName name="PROPIOS" localSheetId="10">#REF!</definedName>
    <definedName name="PROPIOS">#REF!</definedName>
    <definedName name="rango1" localSheetId="11">#REF!</definedName>
    <definedName name="rango1" localSheetId="10">#REF!</definedName>
    <definedName name="rango1">#REF!</definedName>
    <definedName name="RDPTO" localSheetId="11">#REF!</definedName>
    <definedName name="RDPTO" localSheetId="10">#REF!</definedName>
    <definedName name="RDPTO">#REF!</definedName>
    <definedName name="re" localSheetId="11">#REF!</definedName>
    <definedName name="re" localSheetId="10">#REF!</definedName>
    <definedName name="re">#REF!</definedName>
    <definedName name="RECAPRO00_" localSheetId="11">#REF!</definedName>
    <definedName name="RECAPRO00_" localSheetId="10">#REF!</definedName>
    <definedName name="RECAPRO00_">#REF!</definedName>
    <definedName name="RECAPRO93_" localSheetId="11">#REF!</definedName>
    <definedName name="RECAPRO93_" localSheetId="10">#REF!</definedName>
    <definedName name="RECAPRO93_">#REF!</definedName>
    <definedName name="RECAPRO94_" localSheetId="11">#REF!</definedName>
    <definedName name="RECAPRO94_" localSheetId="10">#REF!</definedName>
    <definedName name="RECAPRO94_">#REF!</definedName>
    <definedName name="RECAPRO95_" localSheetId="11">#REF!</definedName>
    <definedName name="RECAPRO95_" localSheetId="10">#REF!</definedName>
    <definedName name="RECAPRO95_">#REF!</definedName>
    <definedName name="RECAPRO96_" localSheetId="11">#REF!</definedName>
    <definedName name="RECAPRO96_" localSheetId="10">#REF!</definedName>
    <definedName name="RECAPRO96_">#REF!</definedName>
    <definedName name="RECAPRO97_" localSheetId="11">#REF!</definedName>
    <definedName name="RECAPRO97_" localSheetId="10">#REF!</definedName>
    <definedName name="RECAPRO97_">#REF!</definedName>
    <definedName name="RECAPRO98_" localSheetId="11">#REF!</definedName>
    <definedName name="RECAPRO98_" localSheetId="10">#REF!</definedName>
    <definedName name="RECAPRO98_">#REF!</definedName>
    <definedName name="RECAPRO99_" localSheetId="11">#REF!</definedName>
    <definedName name="RECAPRO99_" localSheetId="10">#REF!</definedName>
    <definedName name="RECAPRO99_">#REF!</definedName>
    <definedName name="recing" localSheetId="11">#REF!</definedName>
    <definedName name="recing" localSheetId="10">#REF!</definedName>
    <definedName name="recing">#REF!</definedName>
    <definedName name="REGIONALCRECIM" localSheetId="11">#REF!</definedName>
    <definedName name="REGIONALCRECIM" localSheetId="10">#REF!</definedName>
    <definedName name="REGIONALCRECIM">#REF!</definedName>
    <definedName name="REGIONALPESOS" localSheetId="11">#REF!</definedName>
    <definedName name="REGIONALPESOS" localSheetId="10">#REF!</definedName>
    <definedName name="REGIONALPESOS">#REF!</definedName>
    <definedName name="REGIONALPIB" localSheetId="11">#REF!</definedName>
    <definedName name="REGIONALPIB" localSheetId="10">#REF!</definedName>
    <definedName name="REGIONALPIB">#REF!</definedName>
    <definedName name="RESTO" localSheetId="11">#REF!</definedName>
    <definedName name="RESTO" localSheetId="10">#REF!</definedName>
    <definedName name="RESTO">#REF!</definedName>
    <definedName name="RESTOCRECIM" localSheetId="11">#REF!</definedName>
    <definedName name="RESTOCRECIM" localSheetId="10">#REF!</definedName>
    <definedName name="RESTOCRECIM">#REF!</definedName>
    <definedName name="RESTOPESOS" localSheetId="11">#REF!</definedName>
    <definedName name="RESTOPESOS" localSheetId="10">#REF!</definedName>
    <definedName name="RESTOPESOS">#REF!</definedName>
    <definedName name="RESTOPIB" localSheetId="11">#REF!</definedName>
    <definedName name="RESTOPIB" localSheetId="10">#REF!</definedName>
    <definedName name="RESTOPIB">#REF!</definedName>
    <definedName name="RESUMIDO" localSheetId="11">#REF!</definedName>
    <definedName name="RESUMIDO" localSheetId="10">#REF!</definedName>
    <definedName name="RESUMIDO">#REF!</definedName>
    <definedName name="rezago" localSheetId="11">#REF!</definedName>
    <definedName name="rezago" localSheetId="10">#REF!</definedName>
    <definedName name="rezago">#REF!</definedName>
    <definedName name="secing" localSheetId="11">#REF!</definedName>
    <definedName name="secing" localSheetId="10">#REF!</definedName>
    <definedName name="secing">#REF!</definedName>
    <definedName name="SEGSOCIALCRECIM" localSheetId="11">#REF!</definedName>
    <definedName name="SEGSOCIALCRECIM" localSheetId="10">#REF!</definedName>
    <definedName name="SEGSOCIALCRECIM">#REF!</definedName>
    <definedName name="SEGSOCIALPESOS" localSheetId="11">#REF!</definedName>
    <definedName name="SEGSOCIALPESOS" localSheetId="10">#REF!</definedName>
    <definedName name="SEGSOCIALPESOS">#REF!</definedName>
    <definedName name="SEGSOCIALPIB" localSheetId="11">#REF!</definedName>
    <definedName name="SEGSOCIALPIB" localSheetId="10">#REF!</definedName>
    <definedName name="SEGSOCIALPIB">#REF!</definedName>
    <definedName name="SENDEMANDA00_" localSheetId="11">#REF!</definedName>
    <definedName name="SENDEMANDA00_" localSheetId="10">#REF!</definedName>
    <definedName name="SENDEMANDA00_">#REF!</definedName>
    <definedName name="SENDEMANDA93_" localSheetId="11">#REF!</definedName>
    <definedName name="SENDEMANDA93_" localSheetId="10">#REF!</definedName>
    <definedName name="SENDEMANDA93_">#REF!</definedName>
    <definedName name="SENDEMANDA94_" localSheetId="11">#REF!</definedName>
    <definedName name="SENDEMANDA94_" localSheetId="10">#REF!</definedName>
    <definedName name="SENDEMANDA94_">#REF!</definedName>
    <definedName name="SENDEMANDA95_" localSheetId="11">#REF!</definedName>
    <definedName name="SENDEMANDA95_" localSheetId="10">#REF!</definedName>
    <definedName name="SENDEMANDA95_">#REF!</definedName>
    <definedName name="SENDEMANDA96_" localSheetId="11">#REF!</definedName>
    <definedName name="SENDEMANDA96_" localSheetId="10">#REF!</definedName>
    <definedName name="SENDEMANDA96_">#REF!</definedName>
    <definedName name="SENDEMANDA97_" localSheetId="11">#REF!</definedName>
    <definedName name="SENDEMANDA97_" localSheetId="10">#REF!</definedName>
    <definedName name="SENDEMANDA97_">#REF!</definedName>
    <definedName name="SENDEMANDA98_" localSheetId="11">#REF!</definedName>
    <definedName name="SENDEMANDA98_" localSheetId="10">#REF!</definedName>
    <definedName name="SENDEMANDA98_">#REF!</definedName>
    <definedName name="SENDEMANDA99_" localSheetId="11">#REF!</definedName>
    <definedName name="SENDEMANDA99_" localSheetId="10">#REF!</definedName>
    <definedName name="SENDEMANDA99_">#REF!</definedName>
    <definedName name="SENPERDIDAS00_" localSheetId="11">#REF!</definedName>
    <definedName name="SENPERDIDAS00_" localSheetId="10">#REF!</definedName>
    <definedName name="SENPERDIDAS00_">#REF!</definedName>
    <definedName name="SENPERDIDAS93_" localSheetId="11">#REF!</definedName>
    <definedName name="SENPERDIDAS93_" localSheetId="10">#REF!</definedName>
    <definedName name="SENPERDIDAS93_">#REF!</definedName>
    <definedName name="SENPERDIDAS94_" localSheetId="11">#REF!</definedName>
    <definedName name="SENPERDIDAS94_" localSheetId="10">#REF!</definedName>
    <definedName name="SENPERDIDAS94_">#REF!</definedName>
    <definedName name="SENPERDIDAS95_" localSheetId="11">#REF!</definedName>
    <definedName name="SENPERDIDAS95_" localSheetId="10">#REF!</definedName>
    <definedName name="SENPERDIDAS95_">#REF!</definedName>
    <definedName name="SENPERDIDAS96_" localSheetId="11">#REF!</definedName>
    <definedName name="SENPERDIDAS96_" localSheetId="10">#REF!</definedName>
    <definedName name="SENPERDIDAS96_">#REF!</definedName>
    <definedName name="SENPERDIDAS97_" localSheetId="11">#REF!</definedName>
    <definedName name="SENPERDIDAS97_" localSheetId="10">#REF!</definedName>
    <definedName name="SENPERDIDAS97_">#REF!</definedName>
    <definedName name="SENPERDIDAS98_" localSheetId="11">#REF!</definedName>
    <definedName name="SENPERDIDAS98_" localSheetId="10">#REF!</definedName>
    <definedName name="SENPERDIDAS98_">#REF!</definedName>
    <definedName name="SENPERDIDAS99_" localSheetId="11">#REF!</definedName>
    <definedName name="SENPERDIDAS99_" localSheetId="10">#REF!</definedName>
    <definedName name="SENPERDIDAS99_">#REF!</definedName>
    <definedName name="SENRECAUDO00_" localSheetId="11">#REF!</definedName>
    <definedName name="SENRECAUDO00_" localSheetId="10">#REF!</definedName>
    <definedName name="SENRECAUDO00_">#REF!</definedName>
    <definedName name="SENRECAUDO93_" localSheetId="11">#REF!</definedName>
    <definedName name="SENRECAUDO93_" localSheetId="10">#REF!</definedName>
    <definedName name="SENRECAUDO93_">#REF!</definedName>
    <definedName name="SENRECAUDO94_" localSheetId="11">#REF!</definedName>
    <definedName name="SENRECAUDO94_" localSheetId="10">#REF!</definedName>
    <definedName name="SENRECAUDO94_">#REF!</definedName>
    <definedName name="SENRECAUDO95_" localSheetId="11">#REF!</definedName>
    <definedName name="SENRECAUDO95_" localSheetId="10">#REF!</definedName>
    <definedName name="SENRECAUDO95_">#REF!</definedName>
    <definedName name="SENRECAUDO96_" localSheetId="11">#REF!</definedName>
    <definedName name="SENRECAUDO96_" localSheetId="10">#REF!</definedName>
    <definedName name="SENRECAUDO96_">#REF!</definedName>
    <definedName name="SENRECAUDO97_" localSheetId="11">#REF!</definedName>
    <definedName name="SENRECAUDO97_" localSheetId="10">#REF!</definedName>
    <definedName name="SENRECAUDO97_">#REF!</definedName>
    <definedName name="SENRECAUDO98_" localSheetId="11">#REF!</definedName>
    <definedName name="SENRECAUDO98_" localSheetId="10">#REF!</definedName>
    <definedName name="SENRECAUDO98_">#REF!</definedName>
    <definedName name="SENRECAUDO99_" localSheetId="11">#REF!</definedName>
    <definedName name="SENRECAUDO99_" localSheetId="10">#REF!</definedName>
    <definedName name="SENRECAUDO99_">#REF!</definedName>
    <definedName name="SENSUPERAVIT00_" localSheetId="11">#REF!</definedName>
    <definedName name="SENSUPERAVIT00_" localSheetId="10">#REF!</definedName>
    <definedName name="SENSUPERAVIT00_">#REF!</definedName>
    <definedName name="SENSUPERAVIT93_" localSheetId="11">#REF!</definedName>
    <definedName name="SENSUPERAVIT93_" localSheetId="10">#REF!</definedName>
    <definedName name="SENSUPERAVIT93_">#REF!</definedName>
    <definedName name="SENSUPERAVIT94_" localSheetId="11">#REF!</definedName>
    <definedName name="SENSUPERAVIT94_" localSheetId="10">#REF!</definedName>
    <definedName name="SENSUPERAVIT94_">#REF!</definedName>
    <definedName name="SENSUPERAVIT95_" localSheetId="11">#REF!</definedName>
    <definedName name="SENSUPERAVIT95_" localSheetId="10">#REF!</definedName>
    <definedName name="SENSUPERAVIT95_">#REF!</definedName>
    <definedName name="SENSUPERAVIT96_" localSheetId="11">#REF!</definedName>
    <definedName name="SENSUPERAVIT96_" localSheetId="10">#REF!</definedName>
    <definedName name="SENSUPERAVIT96_">#REF!</definedName>
    <definedName name="SENSUPERAVIT97_" localSheetId="11">#REF!</definedName>
    <definedName name="SENSUPERAVIT97_" localSheetId="10">#REF!</definedName>
    <definedName name="SENSUPERAVIT97_">#REF!</definedName>
    <definedName name="SENSUPERAVIT98_" localSheetId="11">#REF!</definedName>
    <definedName name="SENSUPERAVIT98_" localSheetId="10">#REF!</definedName>
    <definedName name="SENSUPERAVIT98_">#REF!</definedName>
    <definedName name="SENSUPERAVIT99_" localSheetId="11">#REF!</definedName>
    <definedName name="SENSUPERAVIT99_" localSheetId="10">#REF!</definedName>
    <definedName name="SENSUPERAVIT99_">#REF!</definedName>
    <definedName name="SENTARIFA00_" localSheetId="11">#REF!</definedName>
    <definedName name="SENTARIFA00_" localSheetId="10">#REF!</definedName>
    <definedName name="SENTARIFA00_">#REF!</definedName>
    <definedName name="SENTARIFA93_" localSheetId="11">#REF!</definedName>
    <definedName name="SENTARIFA93_" localSheetId="10">#REF!</definedName>
    <definedName name="SENTARIFA93_">#REF!</definedName>
    <definedName name="SENTARIFA94_" localSheetId="11">#REF!</definedName>
    <definedName name="SENTARIFA94_" localSheetId="10">#REF!</definedName>
    <definedName name="SENTARIFA94_">#REF!</definedName>
    <definedName name="SENTARIFA95_" localSheetId="11">#REF!</definedName>
    <definedName name="SENTARIFA95_" localSheetId="10">#REF!</definedName>
    <definedName name="SENTARIFA95_">#REF!</definedName>
    <definedName name="SENTARIFA96_" localSheetId="11">#REF!</definedName>
    <definedName name="SENTARIFA96_" localSheetId="10">#REF!</definedName>
    <definedName name="SENTARIFA96_">#REF!</definedName>
    <definedName name="SENTARIFA97_" localSheetId="11">#REF!</definedName>
    <definedName name="SENTARIFA97_" localSheetId="10">#REF!</definedName>
    <definedName name="SENTARIFA97_">#REF!</definedName>
    <definedName name="SENTARIFA98_" localSheetId="11">#REF!</definedName>
    <definedName name="SENTARIFA98_" localSheetId="10">#REF!</definedName>
    <definedName name="SENTARIFA98_">#REF!</definedName>
    <definedName name="SENTARIFA99_" localSheetId="11">#REF!</definedName>
    <definedName name="SENTARIFA99_" localSheetId="10">#REF!</definedName>
    <definedName name="SENTARIFA99_">#REF!</definedName>
    <definedName name="SENVARDEM00_" localSheetId="11">#REF!</definedName>
    <definedName name="SENVARDEM00_" localSheetId="10">#REF!</definedName>
    <definedName name="SENVARDEM00_">#REF!</definedName>
    <definedName name="SENVARDEM93_" localSheetId="11">#REF!</definedName>
    <definedName name="SENVARDEM93_" localSheetId="10">#REF!</definedName>
    <definedName name="SENVARDEM93_">#REF!</definedName>
    <definedName name="SENVARDEM94_" localSheetId="11">#REF!</definedName>
    <definedName name="SENVARDEM94_" localSheetId="10">#REF!</definedName>
    <definedName name="SENVARDEM94_">#REF!</definedName>
    <definedName name="SENVARDEM95_" localSheetId="11">#REF!</definedName>
    <definedName name="SENVARDEM95_" localSheetId="10">#REF!</definedName>
    <definedName name="SENVARDEM95_">#REF!</definedName>
    <definedName name="SENVARDEM96_" localSheetId="11">#REF!</definedName>
    <definedName name="SENVARDEM96_" localSheetId="10">#REF!</definedName>
    <definedName name="SENVARDEM96_">#REF!</definedName>
    <definedName name="SENVARDEM97_" localSheetId="11">#REF!</definedName>
    <definedName name="SENVARDEM97_" localSheetId="10">#REF!</definedName>
    <definedName name="SENVARDEM97_">#REF!</definedName>
    <definedName name="SENVARDEM98_" localSheetId="11">#REF!</definedName>
    <definedName name="SENVARDEM98_" localSheetId="10">#REF!</definedName>
    <definedName name="SENVARDEM98_">#REF!</definedName>
    <definedName name="SENVARDEM99_" localSheetId="11">#REF!</definedName>
    <definedName name="SENVARDEM99_" localSheetId="10">#REF!</definedName>
    <definedName name="SENVARDEM99_">#REF!</definedName>
    <definedName name="SENVENTAS00_" localSheetId="11">#REF!</definedName>
    <definedName name="SENVENTAS00_" localSheetId="10">#REF!</definedName>
    <definedName name="SENVENTAS00_">#REF!</definedName>
    <definedName name="SENVENTAS93_" localSheetId="11">#REF!</definedName>
    <definedName name="SENVENTAS93_" localSheetId="10">#REF!</definedName>
    <definedName name="SENVENTAS93_">#REF!</definedName>
    <definedName name="SENVENTAS94_" localSheetId="11">#REF!</definedName>
    <definedName name="SENVENTAS94_" localSheetId="10">#REF!</definedName>
    <definedName name="SENVENTAS94_">#REF!</definedName>
    <definedName name="SENVENTAS95_" localSheetId="11">#REF!</definedName>
    <definedName name="SENVENTAS95_" localSheetId="10">#REF!</definedName>
    <definedName name="SENVENTAS95_">#REF!</definedName>
    <definedName name="SENVENTAS96_" localSheetId="11">#REF!</definedName>
    <definedName name="SENVENTAS96_" localSheetId="10">#REF!</definedName>
    <definedName name="SENVENTAS96_">#REF!</definedName>
    <definedName name="SENVENTAS97_" localSheetId="11">#REF!</definedName>
    <definedName name="SENVENTAS97_" localSheetId="10">#REF!</definedName>
    <definedName name="SENVENTAS97_">#REF!</definedName>
    <definedName name="SENVENTAS98_" localSheetId="11">#REF!</definedName>
    <definedName name="SENVENTAS98_" localSheetId="10">#REF!</definedName>
    <definedName name="SENVENTAS98_">#REF!</definedName>
    <definedName name="SENVENTAS99_" localSheetId="11">#REF!</definedName>
    <definedName name="SENVENTAS99_" localSheetId="10">#REF!</definedName>
    <definedName name="SENVENTAS99_">#REF!</definedName>
    <definedName name="Servicios_personales" localSheetId="11">#REF!</definedName>
    <definedName name="Servicios_personales" localSheetId="10">#REF!</definedName>
    <definedName name="Servicios_personales">#REF!</definedName>
    <definedName name="SGP_PG_02" localSheetId="11">#REF!</definedName>
    <definedName name="SGP_PG_02" localSheetId="10">#REF!</definedName>
    <definedName name="SGP_PG_02">#REF!</definedName>
    <definedName name="SORTEADO" localSheetId="11">#REF!</definedName>
    <definedName name="SORTEADO" localSheetId="10">#REF!</definedName>
    <definedName name="SORTEADO">#REF!</definedName>
    <definedName name="subtrn" localSheetId="11">#REF!</definedName>
    <definedName name="subtrn" localSheetId="10">#REF!</definedName>
    <definedName name="subtrn">#REF!</definedName>
    <definedName name="TCP00_" localSheetId="11">#REF!</definedName>
    <definedName name="TCP00_" localSheetId="10">#REF!</definedName>
    <definedName name="TCP00_">#REF!</definedName>
    <definedName name="TCP93_" localSheetId="11">#REF!</definedName>
    <definedName name="TCP93_" localSheetId="10">#REF!</definedName>
    <definedName name="TCP93_">#REF!</definedName>
    <definedName name="TCP94_" localSheetId="11">#REF!</definedName>
    <definedName name="TCP94_" localSheetId="10">#REF!</definedName>
    <definedName name="TCP94_">#REF!</definedName>
    <definedName name="TCP95_" localSheetId="11">#REF!</definedName>
    <definedName name="TCP95_" localSheetId="10">#REF!</definedName>
    <definedName name="TCP95_">#REF!</definedName>
    <definedName name="TCP96_" localSheetId="11">#REF!</definedName>
    <definedName name="TCP96_" localSheetId="10">#REF!</definedName>
    <definedName name="TCP96_">#REF!</definedName>
    <definedName name="TCP97_" localSheetId="11">#REF!</definedName>
    <definedName name="TCP97_" localSheetId="10">#REF!</definedName>
    <definedName name="TCP97_">#REF!</definedName>
    <definedName name="TCP98_" localSheetId="11">#REF!</definedName>
    <definedName name="TCP98_" localSheetId="10">#REF!</definedName>
    <definedName name="TCP98_">#REF!</definedName>
    <definedName name="TCP99_" localSheetId="11">#REF!</definedName>
    <definedName name="TCP99_" localSheetId="10">#REF!</definedName>
    <definedName name="TCP99_">#REF!</definedName>
    <definedName name="TELECOMCRECIM" localSheetId="11">#REF!</definedName>
    <definedName name="TELECOMCRECIM" localSheetId="10">#REF!</definedName>
    <definedName name="TELECOMCRECIM">#REF!</definedName>
    <definedName name="TELECOMPESOS" localSheetId="11">#REF!</definedName>
    <definedName name="TELECOMPESOS" localSheetId="10">#REF!</definedName>
    <definedName name="TELECOMPESOS">#REF!</definedName>
    <definedName name="TELECOMPIB" localSheetId="11">#REF!</definedName>
    <definedName name="TELECOMPIB" localSheetId="10">#REF!</definedName>
    <definedName name="TELECOMPIB">#REF!</definedName>
    <definedName name="Títulos_a_imprimir_IM" localSheetId="11">#REF!</definedName>
    <definedName name="Títulos_a_imprimir_IM" localSheetId="10">#REF!</definedName>
    <definedName name="Títulos_a_imprimir_IM">#REF!</definedName>
    <definedName name="TODO" localSheetId="11">#REF!</definedName>
    <definedName name="TODO" localSheetId="10">#REF!</definedName>
    <definedName name="TODO">#REF!</definedName>
    <definedName name="TOTAL" localSheetId="11">#REF!</definedName>
    <definedName name="TOTAL" localSheetId="10">#REF!</definedName>
    <definedName name="TOTAL">#REF!</definedName>
    <definedName name="tothorext" localSheetId="11">#REF!</definedName>
    <definedName name="tothorext" localSheetId="10">#REF!</definedName>
    <definedName name="tothorext">#REF!</definedName>
    <definedName name="totindemvac" localSheetId="11">#REF!</definedName>
    <definedName name="totindemvac" localSheetId="10">#REF!</definedName>
    <definedName name="totindemvac">#REF!</definedName>
    <definedName name="tranferencias" localSheetId="11">#REF!</definedName>
    <definedName name="tranferencias" localSheetId="10">#REF!</definedName>
    <definedName name="tranferencias">#REF!</definedName>
    <definedName name="uno" localSheetId="11">#REF!</definedName>
    <definedName name="uno" localSheetId="10">#REF!</definedName>
    <definedName name="uno">#REF!</definedName>
    <definedName name="v"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alor" localSheetId="11">#REF!</definedName>
    <definedName name="valor" localSheetId="10">#REF!</definedName>
    <definedName name="valor">#REF!</definedName>
    <definedName name="valorpuntoIng" localSheetId="11">#REF!</definedName>
    <definedName name="valorpuntoIng" localSheetId="10">#REF!</definedName>
    <definedName name="valorpuntoIng">#REF!</definedName>
    <definedName name="VARIACIONES" localSheetId="11">#REF!</definedName>
    <definedName name="VARIACIONES" localSheetId="10">#REF!</definedName>
    <definedName name="VARIACIONES">#REF!</definedName>
    <definedName name="Vigencia_1999" localSheetId="11">#REF!</definedName>
    <definedName name="Vigencia_1999" localSheetId="10">#REF!</definedName>
    <definedName name="Vigencia_1999">#REF!</definedName>
    <definedName name="Vigencia_2000" localSheetId="11">#REF!</definedName>
    <definedName name="Vigencia_2000" localSheetId="10">#REF!</definedName>
    <definedName name="Vigencia_2000">#REF!</definedName>
    <definedName name="Vigencia_2001" localSheetId="11">#REF!</definedName>
    <definedName name="Vigencia_2001" localSheetId="10">#REF!</definedName>
    <definedName name="Vigencia_2001">#REF!</definedName>
    <definedName name="Vigencia_2002" localSheetId="11">#REF!</definedName>
    <definedName name="Vigencia_2002" localSheetId="10">#REF!</definedName>
    <definedName name="Vigencia_2002">#REF!</definedName>
    <definedName name="wvu.ComparEneMar9697." localSheetId="10"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ComparEneMar9697."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EneFeb." localSheetId="10" hidden="1">{TRUE,TRUE,-2.75,-17.75,483,276.75,FALSE,TRUE,TRUE,TRUE,0,3,15,1,110,11,8,4,TRUE,TRUE,3,TRUE,1,TRUE,75,"Swvu.EneFeb.","ACwvu.EneFeb.",#N/A,FALSE,FALSE,1.24,0.787401575,0.74,0.984251969,1,"","",FALSE,FALSE,FALSE,FALSE,1,#N/A,1,1,#DIV/0!,FALSE,"Rwvu.EneFeb.","Cwvu.EneFeb.",FALSE,FALSE,FALSE,1,300,300,FALSE,FALSE,TRUE,TRUE,TRUE}</definedName>
    <definedName name="wvu.EneFeb." hidden="1">{TRUE,TRUE,-2.75,-17.75,483,276.75,FALSE,TRUE,TRUE,TRUE,0,3,15,1,110,11,8,4,TRUE,TRUE,3,TRUE,1,TRUE,75,"Swvu.EneFeb.","ACwvu.EneFeb.",#N/A,FALSE,FALSE,1.24,0.787401575,0.74,0.984251969,1,"","",FALSE,FALSE,FALSE,FALSE,1,#N/A,1,1,#DIV/0!,FALSE,"Rwvu.EneFeb.","Cwvu.EneFeb.",FALSE,FALSE,FALSE,1,300,300,FALSE,FALSE,TRUE,TRUE,TRUE}</definedName>
    <definedName name="wvu.Formato._.Corto."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Cort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Total." localSheetId="10"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Formato._.Total."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OPEF._.96." localSheetId="10"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6."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7." localSheetId="10" hidden="1">{TRUE,TRUE,-2.75,-17.75,483,276.75,FALSE,TRUE,TRUE,TRUE,0,2,#N/A,1,#N/A,6.24489795918367,20,1,FALSE,FALSE,3,TRUE,1,FALSE,75,"Swvu.OPEF._.97.","ACwvu.OPEF._.97.",#N/A,FALSE,FALSE,1.88,0.787401575,0.39,1.56,1,"","",FALSE,FALSE,FALSE,FALSE,1,#N/A,1,1,"=R4C2:R117C9",FALSE,"Rwvu.OPEF._.97.",#N/A,FALSE,FALSE,FALSE,5,300,300,FALSE,FALSE,TRUE,TRUE,TRUE}</definedName>
    <definedName name="wvu.OPEF._.97." hidden="1">{TRUE,TRUE,-2.75,-17.75,483,276.75,FALSE,TRUE,TRUE,TRUE,0,2,#N/A,1,#N/A,6.24489795918367,20,1,FALSE,FALSE,3,TRUE,1,FALSE,75,"Swvu.OPEF._.97.","ACwvu.OPEF._.97.",#N/A,FALSE,FALSE,1.88,0.787401575,0.39,1.56,1,"","",FALSE,FALSE,FALSE,FALSE,1,#N/A,1,1,"=R4C2:R117C9",FALSE,"Rwvu.OPEF._.97.",#N/A,FALSE,FALSE,FALSE,5,300,300,FALSE,FALSE,TRUE,TRUE,TRUE}</definedName>
  </definedNames>
  <calcPr calcId="152511"/>
</workbook>
</file>

<file path=xl/calcChain.xml><?xml version="1.0" encoding="utf-8"?>
<calcChain xmlns="http://schemas.openxmlformats.org/spreadsheetml/2006/main">
  <c r="D115" i="2" l="1"/>
  <c r="E115" i="2" s="1"/>
  <c r="F115" i="2" s="1"/>
  <c r="G115" i="2" s="1"/>
  <c r="H115" i="2" s="1"/>
  <c r="I115" i="2" s="1"/>
  <c r="J115" i="2" s="1"/>
  <c r="K115" i="2" s="1"/>
  <c r="L115" i="2" s="1"/>
  <c r="M115" i="2" s="1"/>
  <c r="D147" i="2"/>
  <c r="C141" i="2"/>
  <c r="C145" i="2"/>
  <c r="D145" i="2" s="1"/>
  <c r="E142" i="2"/>
  <c r="F142" i="2" s="1"/>
  <c r="G142" i="2" s="1"/>
  <c r="H142" i="2" s="1"/>
  <c r="I142" i="2" s="1"/>
  <c r="J142" i="2" s="1"/>
  <c r="K142" i="2" s="1"/>
  <c r="L142" i="2" s="1"/>
  <c r="M142" i="2" s="1"/>
  <c r="D142" i="2"/>
  <c r="E137" i="2"/>
  <c r="F137" i="2" s="1"/>
  <c r="G137" i="2" s="1"/>
  <c r="H137" i="2" s="1"/>
  <c r="I137" i="2" s="1"/>
  <c r="J137" i="2" s="1"/>
  <c r="K137" i="2" s="1"/>
  <c r="L137" i="2" s="1"/>
  <c r="M137" i="2" s="1"/>
  <c r="D137" i="2"/>
  <c r="D133" i="2"/>
  <c r="E133" i="2" s="1"/>
  <c r="F133" i="2" s="1"/>
  <c r="G133" i="2" s="1"/>
  <c r="H133" i="2" s="1"/>
  <c r="I133" i="2" s="1"/>
  <c r="J133" i="2" s="1"/>
  <c r="K133" i="2" s="1"/>
  <c r="L133" i="2" s="1"/>
  <c r="M133" i="2" s="1"/>
  <c r="D144" i="2"/>
  <c r="D143" i="2"/>
  <c r="C140" i="2"/>
  <c r="C138" i="2" s="1"/>
  <c r="D136" i="2"/>
  <c r="C135" i="2"/>
  <c r="D129" i="2"/>
  <c r="E129" i="2" s="1"/>
  <c r="F129" i="2" s="1"/>
  <c r="G129" i="2" s="1"/>
  <c r="H129" i="2" s="1"/>
  <c r="I129" i="2" s="1"/>
  <c r="J129" i="2" s="1"/>
  <c r="K129" i="2" s="1"/>
  <c r="L129" i="2" s="1"/>
  <c r="M129" i="2" s="1"/>
  <c r="C131" i="2"/>
  <c r="C132" i="2"/>
  <c r="C128" i="2"/>
  <c r="D126" i="2"/>
  <c r="D125" i="2"/>
  <c r="C124" i="2"/>
  <c r="C118" i="2"/>
  <c r="D123" i="2"/>
  <c r="E123" i="2" s="1"/>
  <c r="F123" i="2" s="1"/>
  <c r="G123" i="2" s="1"/>
  <c r="H123" i="2" s="1"/>
  <c r="I123" i="2" s="1"/>
  <c r="J123" i="2" s="1"/>
  <c r="K123" i="2" s="1"/>
  <c r="L123" i="2" s="1"/>
  <c r="M123" i="2" s="1"/>
  <c r="D122" i="2"/>
  <c r="E122" i="2" s="1"/>
  <c r="F122" i="2" s="1"/>
  <c r="G122" i="2" s="1"/>
  <c r="H122" i="2" s="1"/>
  <c r="I122" i="2" s="1"/>
  <c r="J122" i="2" s="1"/>
  <c r="K122" i="2" s="1"/>
  <c r="L122" i="2" s="1"/>
  <c r="M122" i="2" s="1"/>
  <c r="D120" i="2"/>
  <c r="D119" i="2"/>
  <c r="D141" i="2" l="1"/>
  <c r="E147" i="2"/>
  <c r="F147" i="2" s="1"/>
  <c r="G147" i="2" s="1"/>
  <c r="D118" i="2"/>
  <c r="C130" i="2"/>
  <c r="C127" i="2" s="1"/>
  <c r="E120" i="2"/>
  <c r="D82" i="2"/>
  <c r="C74" i="2"/>
  <c r="D80" i="2"/>
  <c r="E80" i="2" s="1"/>
  <c r="F80" i="2" s="1"/>
  <c r="G80" i="2" s="1"/>
  <c r="H80" i="2" s="1"/>
  <c r="I80" i="2" s="1"/>
  <c r="J80" i="2" s="1"/>
  <c r="K80" i="2" s="1"/>
  <c r="L80" i="2" s="1"/>
  <c r="M80" i="2" s="1"/>
  <c r="C114" i="2"/>
  <c r="C113" i="2" s="1"/>
  <c r="D112" i="2"/>
  <c r="E112" i="2" s="1"/>
  <c r="F112" i="2" s="1"/>
  <c r="G112" i="2" s="1"/>
  <c r="H112" i="2" s="1"/>
  <c r="I112" i="2" s="1"/>
  <c r="J112" i="2" s="1"/>
  <c r="K112" i="2" s="1"/>
  <c r="L112" i="2" s="1"/>
  <c r="M112" i="2" s="1"/>
  <c r="D111" i="2"/>
  <c r="D110" i="2"/>
  <c r="C109" i="2"/>
  <c r="D106" i="2"/>
  <c r="E106" i="2" s="1"/>
  <c r="F106" i="2" s="1"/>
  <c r="G106" i="2" s="1"/>
  <c r="H106" i="2" s="1"/>
  <c r="I106" i="2" s="1"/>
  <c r="J106" i="2" s="1"/>
  <c r="K106" i="2" s="1"/>
  <c r="L106" i="2" s="1"/>
  <c r="M106" i="2" s="1"/>
  <c r="D107" i="2"/>
  <c r="D105" i="2"/>
  <c r="C104" i="2"/>
  <c r="D89" i="2"/>
  <c r="E89" i="2"/>
  <c r="C84" i="2"/>
  <c r="C83" i="2" s="1"/>
  <c r="C81" i="2"/>
  <c r="C117" i="2" s="1"/>
  <c r="C116" i="2" s="1"/>
  <c r="D72" i="2"/>
  <c r="D79" i="2"/>
  <c r="D78" i="2"/>
  <c r="D77" i="2"/>
  <c r="D76" i="2"/>
  <c r="D75" i="2"/>
  <c r="C60" i="2"/>
  <c r="D60" i="2" s="1"/>
  <c r="D52" i="2"/>
  <c r="D51" i="2"/>
  <c r="C45" i="2"/>
  <c r="D45" i="2" s="1"/>
  <c r="E45" i="2" s="1"/>
  <c r="F45" i="2" s="1"/>
  <c r="G45" i="2" s="1"/>
  <c r="H45" i="2" s="1"/>
  <c r="I45" i="2" s="1"/>
  <c r="J45" i="2" s="1"/>
  <c r="K45" i="2" s="1"/>
  <c r="L45" i="2" s="1"/>
  <c r="M45" i="2" s="1"/>
  <c r="C44" i="2"/>
  <c r="C17" i="2"/>
  <c r="D17" i="2" s="1"/>
  <c r="D16" i="2"/>
  <c r="D140" i="2" s="1"/>
  <c r="D14" i="2"/>
  <c r="D13" i="2"/>
  <c r="D9" i="2"/>
  <c r="D132" i="2" s="1"/>
  <c r="D8" i="2"/>
  <c r="D131" i="2" s="1"/>
  <c r="D7" i="2"/>
  <c r="H147" i="2" l="1"/>
  <c r="D74" i="2"/>
  <c r="F120" i="2"/>
  <c r="D84" i="2"/>
  <c r="D104" i="2"/>
  <c r="C103" i="2"/>
  <c r="C102" i="2" s="1"/>
  <c r="D15" i="2"/>
  <c r="I147" i="2" l="1"/>
  <c r="G120" i="2"/>
  <c r="C70" i="2"/>
  <c r="C69" i="2" s="1"/>
  <c r="D54" i="2"/>
  <c r="D57" i="2"/>
  <c r="C33" i="2"/>
  <c r="C6" i="9"/>
  <c r="D47" i="2"/>
  <c r="E47" i="2" s="1"/>
  <c r="D44" i="2"/>
  <c r="D43" i="2"/>
  <c r="D42" i="2"/>
  <c r="D41" i="2"/>
  <c r="C38" i="2"/>
  <c r="D40" i="2"/>
  <c r="D114" i="2" s="1"/>
  <c r="D113" i="2" s="1"/>
  <c r="D39" i="2"/>
  <c r="D37" i="2"/>
  <c r="D36" i="2"/>
  <c r="D34" i="2"/>
  <c r="D24" i="2"/>
  <c r="D26" i="9"/>
  <c r="E26" i="9"/>
  <c r="F26" i="9"/>
  <c r="G26" i="9"/>
  <c r="H26" i="9"/>
  <c r="I26" i="9"/>
  <c r="J26" i="9"/>
  <c r="C174" i="2"/>
  <c r="J147" i="2" l="1"/>
  <c r="H120" i="2"/>
  <c r="C32" i="2"/>
  <c r="E6" i="9"/>
  <c r="F47" i="2"/>
  <c r="D6" i="9"/>
  <c r="E36" i="6"/>
  <c r="E39" i="6"/>
  <c r="D39" i="6"/>
  <c r="K147" i="2" l="1"/>
  <c r="I120" i="2"/>
  <c r="G47" i="2"/>
  <c r="F6" i="9"/>
  <c r="E31" i="9"/>
  <c r="F31" i="9"/>
  <c r="G31" i="9"/>
  <c r="H31" i="9"/>
  <c r="I31" i="9"/>
  <c r="D31" i="9"/>
  <c r="D174" i="2"/>
  <c r="L147" i="2" l="1"/>
  <c r="J120" i="2"/>
  <c r="E174" i="2"/>
  <c r="D23" i="9"/>
  <c r="D34" i="9" s="1"/>
  <c r="H47" i="2"/>
  <c r="G6" i="9"/>
  <c r="D197" i="2"/>
  <c r="D196" i="2"/>
  <c r="D177" i="2"/>
  <c r="D194" i="2"/>
  <c r="D187" i="2"/>
  <c r="D185" i="2"/>
  <c r="E77" i="2"/>
  <c r="F77" i="2" s="1"/>
  <c r="G77" i="2" s="1"/>
  <c r="H77" i="2" s="1"/>
  <c r="I77" i="2" s="1"/>
  <c r="J77" i="2" s="1"/>
  <c r="K77" i="2" s="1"/>
  <c r="L77" i="2" s="1"/>
  <c r="M77" i="2" s="1"/>
  <c r="E40" i="2"/>
  <c r="E39" i="2"/>
  <c r="F39" i="2" s="1"/>
  <c r="G39" i="2" s="1"/>
  <c r="D38" i="2"/>
  <c r="D190" i="2" s="1"/>
  <c r="E37" i="2"/>
  <c r="F37" i="2" s="1"/>
  <c r="G37" i="2" s="1"/>
  <c r="H37" i="2" s="1"/>
  <c r="I37" i="2" s="1"/>
  <c r="J37" i="2" s="1"/>
  <c r="K37" i="2" s="1"/>
  <c r="L37" i="2" s="1"/>
  <c r="M37" i="2" s="1"/>
  <c r="E36" i="2"/>
  <c r="F36" i="2" s="1"/>
  <c r="G36" i="2" s="1"/>
  <c r="H36" i="2" s="1"/>
  <c r="I36" i="2" s="1"/>
  <c r="J36" i="2" s="1"/>
  <c r="K36" i="2" s="1"/>
  <c r="L36" i="2" s="1"/>
  <c r="M36" i="2" s="1"/>
  <c r="E35" i="2"/>
  <c r="F35" i="2" s="1"/>
  <c r="G35" i="2" s="1"/>
  <c r="H35" i="2" s="1"/>
  <c r="I35" i="2" s="1"/>
  <c r="J35" i="2" s="1"/>
  <c r="K35" i="2" s="1"/>
  <c r="L35" i="2" s="1"/>
  <c r="M35" i="2" s="1"/>
  <c r="E34" i="2"/>
  <c r="F34" i="2" s="1"/>
  <c r="G34" i="2" s="1"/>
  <c r="D33" i="2"/>
  <c r="D193" i="2" s="1"/>
  <c r="E84" i="2"/>
  <c r="E83" i="2" s="1"/>
  <c r="D83" i="2"/>
  <c r="E60" i="2"/>
  <c r="F60" i="2" s="1"/>
  <c r="G60" i="2" s="1"/>
  <c r="H60" i="2" s="1"/>
  <c r="I60" i="2" s="1"/>
  <c r="J60" i="2" s="1"/>
  <c r="K60" i="2" s="1"/>
  <c r="L60" i="2" s="1"/>
  <c r="M60" i="2" s="1"/>
  <c r="E57" i="2"/>
  <c r="F57" i="2" s="1"/>
  <c r="G57" i="2" s="1"/>
  <c r="H57" i="2" s="1"/>
  <c r="I57" i="2" s="1"/>
  <c r="J57" i="2" s="1"/>
  <c r="K57" i="2" s="1"/>
  <c r="L57" i="2" s="1"/>
  <c r="M57" i="2" s="1"/>
  <c r="E135" i="2"/>
  <c r="F135" i="2"/>
  <c r="G135" i="2"/>
  <c r="H135" i="2"/>
  <c r="I135" i="2"/>
  <c r="J135" i="2"/>
  <c r="K135" i="2"/>
  <c r="L135" i="2"/>
  <c r="M135" i="2"/>
  <c r="E145" i="2"/>
  <c r="F145" i="2" s="1"/>
  <c r="G145" i="2" s="1"/>
  <c r="H145" i="2" s="1"/>
  <c r="I145" i="2" s="1"/>
  <c r="J145" i="2" s="1"/>
  <c r="K145" i="2" s="1"/>
  <c r="L145" i="2" s="1"/>
  <c r="M145" i="2" s="1"/>
  <c r="E143" i="2"/>
  <c r="D135" i="2"/>
  <c r="E128" i="2"/>
  <c r="F143" i="2" l="1"/>
  <c r="M147" i="2"/>
  <c r="K120" i="2"/>
  <c r="F40" i="2"/>
  <c r="F38" i="2" s="1"/>
  <c r="F190" i="2" s="1"/>
  <c r="E114" i="2"/>
  <c r="E113" i="2" s="1"/>
  <c r="F84" i="2"/>
  <c r="G84" i="2" s="1"/>
  <c r="G83" i="2" s="1"/>
  <c r="F174" i="2"/>
  <c r="E23" i="9"/>
  <c r="E34" i="9" s="1"/>
  <c r="I47" i="2"/>
  <c r="H6" i="9"/>
  <c r="E38" i="2"/>
  <c r="E190" i="2" s="1"/>
  <c r="H39" i="2"/>
  <c r="E33" i="2"/>
  <c r="E193" i="2" s="1"/>
  <c r="H34" i="2"/>
  <c r="G33" i="2"/>
  <c r="G193" i="2" s="1"/>
  <c r="F33" i="2"/>
  <c r="F193" i="2" s="1"/>
  <c r="G143" i="2" l="1"/>
  <c r="L120" i="2"/>
  <c r="G40" i="2"/>
  <c r="F114" i="2"/>
  <c r="F113" i="2" s="1"/>
  <c r="H84" i="2"/>
  <c r="H83" i="2" s="1"/>
  <c r="F83" i="2"/>
  <c r="F128" i="2"/>
  <c r="G174" i="2"/>
  <c r="G23" i="9" s="1"/>
  <c r="F23" i="9"/>
  <c r="J47" i="2"/>
  <c r="I6" i="9"/>
  <c r="I39" i="2"/>
  <c r="I34" i="2"/>
  <c r="H33" i="2"/>
  <c r="H193" i="2" s="1"/>
  <c r="H143" i="2" l="1"/>
  <c r="M120" i="2"/>
  <c r="I84" i="2"/>
  <c r="J84" i="2" s="1"/>
  <c r="H40" i="2"/>
  <c r="G114" i="2"/>
  <c r="G113" i="2" s="1"/>
  <c r="G38" i="2"/>
  <c r="G190" i="2" s="1"/>
  <c r="G128" i="2"/>
  <c r="K47" i="2"/>
  <c r="J6" i="9"/>
  <c r="J39" i="2"/>
  <c r="I33" i="2"/>
  <c r="I193" i="2" s="1"/>
  <c r="J34" i="2"/>
  <c r="I143" i="2" l="1"/>
  <c r="I83" i="2"/>
  <c r="I40" i="2"/>
  <c r="H114" i="2"/>
  <c r="H113" i="2" s="1"/>
  <c r="H38" i="2"/>
  <c r="H190" i="2" s="1"/>
  <c r="H128" i="2"/>
  <c r="L47" i="2"/>
  <c r="K6" i="9"/>
  <c r="K39" i="2"/>
  <c r="K34" i="2"/>
  <c r="J33" i="2"/>
  <c r="J193" i="2" s="1"/>
  <c r="K84" i="2"/>
  <c r="J83" i="2"/>
  <c r="J143" i="2" l="1"/>
  <c r="J40" i="2"/>
  <c r="I114" i="2"/>
  <c r="I113" i="2" s="1"/>
  <c r="I38" i="2"/>
  <c r="I190" i="2" s="1"/>
  <c r="I128" i="2"/>
  <c r="M47" i="2"/>
  <c r="M6" i="9" s="1"/>
  <c r="L6" i="9"/>
  <c r="L39" i="2"/>
  <c r="L34" i="2"/>
  <c r="K33" i="2"/>
  <c r="K193" i="2" s="1"/>
  <c r="L84" i="2"/>
  <c r="K83" i="2"/>
  <c r="K143" i="2" l="1"/>
  <c r="K40" i="2"/>
  <c r="J114" i="2"/>
  <c r="J113" i="2" s="1"/>
  <c r="J38" i="2"/>
  <c r="J190" i="2" s="1"/>
  <c r="J128" i="2"/>
  <c r="M39" i="2"/>
  <c r="M34" i="2"/>
  <c r="M33" i="2" s="1"/>
  <c r="M193" i="2" s="1"/>
  <c r="L33" i="2"/>
  <c r="L193" i="2" s="1"/>
  <c r="M84" i="2"/>
  <c r="M83" i="2" s="1"/>
  <c r="L83" i="2"/>
  <c r="L143" i="2" l="1"/>
  <c r="L40" i="2"/>
  <c r="K114" i="2"/>
  <c r="K113" i="2" s="1"/>
  <c r="K38" i="2"/>
  <c r="K190" i="2" s="1"/>
  <c r="K128" i="2"/>
  <c r="M143" i="2" l="1"/>
  <c r="M40" i="2"/>
  <c r="L114" i="2"/>
  <c r="L113" i="2" s="1"/>
  <c r="L38" i="2"/>
  <c r="L190" i="2" s="1"/>
  <c r="M128" i="2"/>
  <c r="L128" i="2"/>
  <c r="M114" i="2" l="1"/>
  <c r="M113" i="2" s="1"/>
  <c r="M38" i="2"/>
  <c r="M190" i="2" s="1"/>
  <c r="E107" i="2"/>
  <c r="F107" i="2" s="1"/>
  <c r="G107" i="2" s="1"/>
  <c r="H107" i="2" s="1"/>
  <c r="I107" i="2" s="1"/>
  <c r="J107" i="2" s="1"/>
  <c r="K107" i="2" s="1"/>
  <c r="L107" i="2" s="1"/>
  <c r="M107" i="2" s="1"/>
  <c r="D182" i="2"/>
  <c r="E111" i="2"/>
  <c r="E82" i="2"/>
  <c r="F82" i="2" s="1"/>
  <c r="G82" i="2" s="1"/>
  <c r="H82" i="2" s="1"/>
  <c r="I82" i="2" s="1"/>
  <c r="J82" i="2" s="1"/>
  <c r="K82" i="2" s="1"/>
  <c r="L82" i="2" s="1"/>
  <c r="M82" i="2" s="1"/>
  <c r="E73" i="2"/>
  <c r="F73" i="2" s="1"/>
  <c r="G73" i="2" s="1"/>
  <c r="H73" i="2" s="1"/>
  <c r="I73" i="2" s="1"/>
  <c r="J73" i="2" s="1"/>
  <c r="K73" i="2" s="1"/>
  <c r="L73" i="2" s="1"/>
  <c r="M73" i="2" s="1"/>
  <c r="E72" i="2"/>
  <c r="F72" i="2" s="1"/>
  <c r="G72" i="2" s="1"/>
  <c r="H72" i="2" s="1"/>
  <c r="I72" i="2" s="1"/>
  <c r="J72" i="2" s="1"/>
  <c r="K72" i="2" s="1"/>
  <c r="L72" i="2" s="1"/>
  <c r="M72" i="2" s="1"/>
  <c r="D70" i="2"/>
  <c r="E71" i="2"/>
  <c r="E79" i="2"/>
  <c r="F79" i="2" s="1"/>
  <c r="G79" i="2" s="1"/>
  <c r="H79" i="2" s="1"/>
  <c r="I79" i="2" s="1"/>
  <c r="J79" i="2" s="1"/>
  <c r="K79" i="2" s="1"/>
  <c r="L79" i="2" s="1"/>
  <c r="M79" i="2" s="1"/>
  <c r="E197" i="2" l="1"/>
  <c r="L196" i="2"/>
  <c r="L197" i="2"/>
  <c r="F111" i="2"/>
  <c r="E196" i="2"/>
  <c r="D109" i="2"/>
  <c r="D103" i="2" s="1"/>
  <c r="E105" i="2"/>
  <c r="E104" i="2" s="1"/>
  <c r="E70" i="2"/>
  <c r="F71" i="2"/>
  <c r="E194" i="2" l="1"/>
  <c r="M196" i="2"/>
  <c r="M197" i="2"/>
  <c r="F196" i="2"/>
  <c r="F197" i="2"/>
  <c r="G111" i="2"/>
  <c r="F105" i="2"/>
  <c r="F104" i="2" s="1"/>
  <c r="G71" i="2"/>
  <c r="F70" i="2"/>
  <c r="F194" i="2" l="1"/>
  <c r="G197" i="2"/>
  <c r="G196" i="2"/>
  <c r="H111" i="2"/>
  <c r="G105" i="2"/>
  <c r="H71" i="2"/>
  <c r="G70" i="2"/>
  <c r="G194" i="2" l="1"/>
  <c r="G104" i="2"/>
  <c r="H196" i="2"/>
  <c r="H197" i="2"/>
  <c r="I111" i="2"/>
  <c r="H105" i="2"/>
  <c r="H104" i="2" s="1"/>
  <c r="I71" i="2"/>
  <c r="H70" i="2"/>
  <c r="H194" i="2" l="1"/>
  <c r="I197" i="2"/>
  <c r="I196" i="2"/>
  <c r="J111" i="2"/>
  <c r="I105" i="2"/>
  <c r="J71" i="2"/>
  <c r="I70" i="2"/>
  <c r="I194" i="2" l="1"/>
  <c r="I104" i="2"/>
  <c r="J196" i="2"/>
  <c r="J197" i="2"/>
  <c r="K111" i="2"/>
  <c r="J105" i="2"/>
  <c r="J104" i="2" s="1"/>
  <c r="K71" i="2"/>
  <c r="J70" i="2"/>
  <c r="J194" i="2" l="1"/>
  <c r="K197" i="2"/>
  <c r="K196" i="2"/>
  <c r="L111" i="2"/>
  <c r="K105" i="2"/>
  <c r="K104" i="2" s="1"/>
  <c r="L71" i="2"/>
  <c r="K70" i="2"/>
  <c r="K194" i="2" l="1"/>
  <c r="M111" i="2"/>
  <c r="L105" i="2"/>
  <c r="L104" i="2" s="1"/>
  <c r="M71" i="2"/>
  <c r="M70" i="2" s="1"/>
  <c r="L70" i="2"/>
  <c r="L194" i="2" l="1"/>
  <c r="M105" i="2"/>
  <c r="M104" i="2" s="1"/>
  <c r="M194" i="2" l="1"/>
  <c r="D181" i="2"/>
  <c r="D184" i="2"/>
  <c r="D32" i="2" l="1"/>
  <c r="T27" i="6"/>
  <c r="D184" i="16" l="1"/>
  <c r="D126" i="16"/>
  <c r="D168" i="16" s="1"/>
  <c r="D196" i="16" s="1"/>
  <c r="H184" i="16"/>
  <c r="I184" i="16"/>
  <c r="J184" i="16"/>
  <c r="K184" i="16"/>
  <c r="L184" i="16"/>
  <c r="M184" i="16"/>
  <c r="D186" i="16"/>
  <c r="D102" i="16"/>
  <c r="E103" i="16"/>
  <c r="E102" i="16" s="1"/>
  <c r="E184" i="16"/>
  <c r="F184" i="16"/>
  <c r="G184" i="16"/>
  <c r="F103" i="16" l="1"/>
  <c r="E135" i="16"/>
  <c r="F135" i="16"/>
  <c r="G135" i="16"/>
  <c r="E183" i="16"/>
  <c r="F183" i="16"/>
  <c r="G183" i="16"/>
  <c r="H183" i="16"/>
  <c r="I183" i="16"/>
  <c r="J183" i="16"/>
  <c r="K183" i="16"/>
  <c r="L183" i="16"/>
  <c r="M183" i="16"/>
  <c r="D183" i="16"/>
  <c r="D185" i="16" s="1"/>
  <c r="D80" i="16"/>
  <c r="D180" i="16"/>
  <c r="D177" i="16"/>
  <c r="D174" i="16"/>
  <c r="D171" i="16"/>
  <c r="D167" i="16"/>
  <c r="D165" i="16"/>
  <c r="E165" i="16" s="1"/>
  <c r="F165" i="16" s="1"/>
  <c r="G165" i="16" s="1"/>
  <c r="H165" i="16" s="1"/>
  <c r="I165" i="16" s="1"/>
  <c r="J165" i="16" s="1"/>
  <c r="K165" i="16" s="1"/>
  <c r="L165" i="16" s="1"/>
  <c r="M165" i="16" s="1"/>
  <c r="C159" i="16"/>
  <c r="M148" i="16"/>
  <c r="L148" i="16"/>
  <c r="K148" i="16"/>
  <c r="K144" i="16" s="1"/>
  <c r="K143" i="16" s="1"/>
  <c r="J148" i="16"/>
  <c r="I148" i="16"/>
  <c r="I144" i="16" s="1"/>
  <c r="I143" i="16" s="1"/>
  <c r="H148" i="16"/>
  <c r="G148" i="16"/>
  <c r="G144" i="16" s="1"/>
  <c r="G143" i="16" s="1"/>
  <c r="F148" i="16"/>
  <c r="E148" i="16"/>
  <c r="D148" i="16"/>
  <c r="C148" i="16"/>
  <c r="C144" i="16" s="1"/>
  <c r="C143" i="16" s="1"/>
  <c r="M145" i="16"/>
  <c r="L145" i="16"/>
  <c r="L144" i="16" s="1"/>
  <c r="L143" i="16" s="1"/>
  <c r="K145" i="16"/>
  <c r="J145" i="16"/>
  <c r="J144" i="16" s="1"/>
  <c r="J143" i="16" s="1"/>
  <c r="I145" i="16"/>
  <c r="H145" i="16"/>
  <c r="H144" i="16" s="1"/>
  <c r="H143" i="16" s="1"/>
  <c r="G145" i="16"/>
  <c r="F145" i="16"/>
  <c r="F144" i="16" s="1"/>
  <c r="F143" i="16" s="1"/>
  <c r="E145" i="16"/>
  <c r="D145" i="16"/>
  <c r="D144" i="16" s="1"/>
  <c r="D143" i="16" s="1"/>
  <c r="C145" i="16"/>
  <c r="M144" i="16"/>
  <c r="M143" i="16" s="1"/>
  <c r="E144" i="16"/>
  <c r="E143" i="16" s="1"/>
  <c r="D193" i="16"/>
  <c r="E134" i="16"/>
  <c r="F134" i="16" s="1"/>
  <c r="D132" i="16"/>
  <c r="D129" i="16"/>
  <c r="D128" i="16"/>
  <c r="D127" i="16" s="1"/>
  <c r="E125" i="16"/>
  <c r="F125" i="16" s="1"/>
  <c r="G125" i="16" s="1"/>
  <c r="H125" i="16" s="1"/>
  <c r="I125" i="16" s="1"/>
  <c r="J125" i="16" s="1"/>
  <c r="K125" i="16" s="1"/>
  <c r="L125" i="16" s="1"/>
  <c r="M125" i="16" s="1"/>
  <c r="D124" i="16"/>
  <c r="M120" i="16"/>
  <c r="L120" i="16"/>
  <c r="K120" i="16"/>
  <c r="J120" i="16"/>
  <c r="I120" i="16"/>
  <c r="H120" i="16"/>
  <c r="G120" i="16"/>
  <c r="F120" i="16"/>
  <c r="E120" i="16"/>
  <c r="D120" i="16"/>
  <c r="M115" i="16"/>
  <c r="L115" i="16"/>
  <c r="K115" i="16"/>
  <c r="J115" i="16"/>
  <c r="I115" i="16"/>
  <c r="H115" i="16"/>
  <c r="G115" i="16"/>
  <c r="F115" i="16"/>
  <c r="E115" i="16"/>
  <c r="D115" i="16"/>
  <c r="E113" i="16"/>
  <c r="F113" i="16" s="1"/>
  <c r="G113" i="16" s="1"/>
  <c r="H113" i="16" s="1"/>
  <c r="I113" i="16" s="1"/>
  <c r="J113" i="16" s="1"/>
  <c r="K113" i="16" s="1"/>
  <c r="L113" i="16" s="1"/>
  <c r="M113" i="16" s="1"/>
  <c r="D112" i="16"/>
  <c r="E112" i="16" s="1"/>
  <c r="F112" i="16" s="1"/>
  <c r="G112" i="16" s="1"/>
  <c r="H112" i="16" s="1"/>
  <c r="I112" i="16" s="1"/>
  <c r="J112" i="16" s="1"/>
  <c r="K112" i="16" s="1"/>
  <c r="L112" i="16" s="1"/>
  <c r="M112" i="16" s="1"/>
  <c r="E110" i="16"/>
  <c r="F110" i="16" s="1"/>
  <c r="G110" i="16" s="1"/>
  <c r="H110" i="16" s="1"/>
  <c r="I110" i="16" s="1"/>
  <c r="J110" i="16" s="1"/>
  <c r="K110" i="16" s="1"/>
  <c r="L110" i="16" s="1"/>
  <c r="M110" i="16" s="1"/>
  <c r="D109" i="16"/>
  <c r="D106" i="16"/>
  <c r="D105" i="16"/>
  <c r="D104" i="16"/>
  <c r="D100" i="16"/>
  <c r="D99" i="16"/>
  <c r="D97" i="16"/>
  <c r="D96" i="16"/>
  <c r="D178" i="16" s="1"/>
  <c r="C94" i="16"/>
  <c r="C93" i="16"/>
  <c r="E84" i="16"/>
  <c r="E99" i="16" s="1"/>
  <c r="E83" i="16"/>
  <c r="E126" i="16" s="1"/>
  <c r="E168" i="16" s="1"/>
  <c r="E81" i="16"/>
  <c r="C80" i="16"/>
  <c r="C141" i="16" s="1"/>
  <c r="M76" i="16"/>
  <c r="L76" i="16"/>
  <c r="K76" i="16"/>
  <c r="J76" i="16"/>
  <c r="I76" i="16"/>
  <c r="H76" i="16"/>
  <c r="G76" i="16"/>
  <c r="F76" i="16"/>
  <c r="E76" i="16"/>
  <c r="D76" i="16"/>
  <c r="C76" i="16"/>
  <c r="M73" i="16"/>
  <c r="D72" i="16"/>
  <c r="E68" i="16"/>
  <c r="D68" i="16"/>
  <c r="D67" i="16"/>
  <c r="D66" i="16"/>
  <c r="C63" i="16"/>
  <c r="M59" i="16"/>
  <c r="L59" i="16"/>
  <c r="K59" i="16"/>
  <c r="J59" i="16"/>
  <c r="I59" i="16"/>
  <c r="H59" i="16"/>
  <c r="G59" i="16"/>
  <c r="F59" i="16"/>
  <c r="E59" i="16"/>
  <c r="D59" i="16"/>
  <c r="C59" i="16"/>
  <c r="E48" i="16"/>
  <c r="F48" i="16" s="1"/>
  <c r="D47" i="16"/>
  <c r="C47" i="16"/>
  <c r="E46" i="16"/>
  <c r="F46" i="16" s="1"/>
  <c r="G46" i="16" s="1"/>
  <c r="H46" i="16" s="1"/>
  <c r="I46" i="16" s="1"/>
  <c r="J46" i="16" s="1"/>
  <c r="K46" i="16" s="1"/>
  <c r="L46" i="16" s="1"/>
  <c r="M46" i="16" s="1"/>
  <c r="E45" i="16"/>
  <c r="F45" i="16" s="1"/>
  <c r="D44" i="16"/>
  <c r="C44" i="16"/>
  <c r="C43" i="16" s="1"/>
  <c r="C42" i="16" s="1"/>
  <c r="F41" i="16"/>
  <c r="F40" i="16"/>
  <c r="F39" i="16"/>
  <c r="E38" i="16"/>
  <c r="E67" i="16" s="1"/>
  <c r="E37" i="16"/>
  <c r="E97" i="16" s="1"/>
  <c r="E36" i="16"/>
  <c r="E171" i="16" s="1"/>
  <c r="E35" i="16"/>
  <c r="E174" i="16" s="1"/>
  <c r="E34" i="16"/>
  <c r="E180" i="16" s="1"/>
  <c r="E33" i="16"/>
  <c r="E177" i="16" s="1"/>
  <c r="D32" i="16"/>
  <c r="D31" i="16" s="1"/>
  <c r="D30" i="16" s="1"/>
  <c r="C32" i="16"/>
  <c r="C31" i="16" s="1"/>
  <c r="C30" i="16" s="1"/>
  <c r="M26" i="16"/>
  <c r="L26" i="16"/>
  <c r="K26" i="16"/>
  <c r="J26" i="16"/>
  <c r="I26" i="16"/>
  <c r="H26" i="16"/>
  <c r="G26" i="16"/>
  <c r="F26" i="16"/>
  <c r="E26" i="16"/>
  <c r="D26" i="16"/>
  <c r="C26" i="16"/>
  <c r="E24" i="16"/>
  <c r="F24" i="16" s="1"/>
  <c r="E23" i="16"/>
  <c r="E22" i="16" s="1"/>
  <c r="D23" i="16"/>
  <c r="C23" i="16"/>
  <c r="C22" i="16" s="1"/>
  <c r="D22" i="16"/>
  <c r="E20" i="16"/>
  <c r="F20" i="16" s="1"/>
  <c r="G20" i="16" s="1"/>
  <c r="H20" i="16" s="1"/>
  <c r="I20" i="16" s="1"/>
  <c r="J20" i="16" s="1"/>
  <c r="K20" i="16" s="1"/>
  <c r="L20" i="16" s="1"/>
  <c r="M20" i="16" s="1"/>
  <c r="E19" i="16"/>
  <c r="F19" i="16" s="1"/>
  <c r="E18" i="16"/>
  <c r="D18" i="16"/>
  <c r="C18" i="16"/>
  <c r="E17" i="16"/>
  <c r="E129" i="16" s="1"/>
  <c r="E16" i="16"/>
  <c r="F16" i="16" s="1"/>
  <c r="G16" i="16" s="1"/>
  <c r="H16" i="16" s="1"/>
  <c r="I16" i="16" s="1"/>
  <c r="J16" i="16" s="1"/>
  <c r="K16" i="16" s="1"/>
  <c r="L16" i="16" s="1"/>
  <c r="M16" i="16" s="1"/>
  <c r="E15" i="16"/>
  <c r="E100" i="16" s="1"/>
  <c r="E14" i="16"/>
  <c r="F14" i="16" s="1"/>
  <c r="G14" i="16" s="1"/>
  <c r="H14" i="16" s="1"/>
  <c r="I14" i="16" s="1"/>
  <c r="J14" i="16" s="1"/>
  <c r="K14" i="16" s="1"/>
  <c r="L14" i="16" s="1"/>
  <c r="M14" i="16" s="1"/>
  <c r="E13" i="16"/>
  <c r="F13" i="16" s="1"/>
  <c r="G13" i="16" s="1"/>
  <c r="H13" i="16" s="1"/>
  <c r="I13" i="16" s="1"/>
  <c r="J13" i="16" s="1"/>
  <c r="K13" i="16" s="1"/>
  <c r="L13" i="16" s="1"/>
  <c r="M13" i="16" s="1"/>
  <c r="E12" i="16"/>
  <c r="F12" i="16" s="1"/>
  <c r="G12" i="16" s="1"/>
  <c r="H12" i="16" s="1"/>
  <c r="I12" i="16" s="1"/>
  <c r="J12" i="16" s="1"/>
  <c r="K12" i="16" s="1"/>
  <c r="L12" i="16" s="1"/>
  <c r="M12" i="16" s="1"/>
  <c r="E11" i="16"/>
  <c r="F11" i="16" s="1"/>
  <c r="G11" i="16" s="1"/>
  <c r="H11" i="16" s="1"/>
  <c r="I11" i="16" s="1"/>
  <c r="J11" i="16" s="1"/>
  <c r="K11" i="16" s="1"/>
  <c r="L11" i="16" s="1"/>
  <c r="M11" i="16" s="1"/>
  <c r="E10" i="16"/>
  <c r="F10" i="16" s="1"/>
  <c r="G10" i="16" s="1"/>
  <c r="H10" i="16" s="1"/>
  <c r="I10" i="16" s="1"/>
  <c r="J10" i="16" s="1"/>
  <c r="K10" i="16" s="1"/>
  <c r="L10" i="16" s="1"/>
  <c r="M10" i="16" s="1"/>
  <c r="E9" i="16"/>
  <c r="F9" i="16" s="1"/>
  <c r="G9" i="16" s="1"/>
  <c r="H9" i="16" s="1"/>
  <c r="I9" i="16" s="1"/>
  <c r="J9" i="16" s="1"/>
  <c r="K9" i="16" s="1"/>
  <c r="L9" i="16" s="1"/>
  <c r="M9" i="16" s="1"/>
  <c r="E8" i="16"/>
  <c r="E128" i="16" s="1"/>
  <c r="E7" i="16"/>
  <c r="E6" i="16"/>
  <c r="D6" i="16"/>
  <c r="C6" i="16"/>
  <c r="A2" i="16"/>
  <c r="E132" i="16" l="1"/>
  <c r="D136" i="16"/>
  <c r="D135" i="16" s="1"/>
  <c r="D123" i="16"/>
  <c r="D65" i="16"/>
  <c r="F81" i="16"/>
  <c r="E80" i="16"/>
  <c r="D172" i="16"/>
  <c r="D111" i="16"/>
  <c r="E111" i="16" s="1"/>
  <c r="F111" i="16" s="1"/>
  <c r="G111" i="16" s="1"/>
  <c r="H111" i="16" s="1"/>
  <c r="I111" i="16" s="1"/>
  <c r="J111" i="16" s="1"/>
  <c r="K111" i="16" s="1"/>
  <c r="L111" i="16" s="1"/>
  <c r="M111" i="16" s="1"/>
  <c r="D187" i="16"/>
  <c r="D188" i="16" s="1"/>
  <c r="D175" i="16"/>
  <c r="D71" i="16"/>
  <c r="F7" i="16"/>
  <c r="E186" i="16"/>
  <c r="E127" i="16"/>
  <c r="F102" i="16"/>
  <c r="G103" i="16"/>
  <c r="D21" i="16"/>
  <c r="D5" i="16" s="1"/>
  <c r="D4" i="16" s="1"/>
  <c r="D181" i="16"/>
  <c r="D63" i="16"/>
  <c r="D43" i="16" s="1"/>
  <c r="C21" i="16"/>
  <c r="C5" i="16" s="1"/>
  <c r="E32" i="16"/>
  <c r="E31" i="16" s="1"/>
  <c r="E30" i="16" s="1"/>
  <c r="E21" i="16" s="1"/>
  <c r="E5" i="16" s="1"/>
  <c r="E4" i="16" s="1"/>
  <c r="E47" i="16"/>
  <c r="E44" i="16" s="1"/>
  <c r="E187" i="16" s="1"/>
  <c r="E188" i="16" s="1"/>
  <c r="D108" i="16"/>
  <c r="D114" i="16"/>
  <c r="D95" i="16"/>
  <c r="G7" i="16"/>
  <c r="D161" i="16"/>
  <c r="D155" i="16"/>
  <c r="D79" i="16"/>
  <c r="G19" i="16"/>
  <c r="F18" i="16"/>
  <c r="G24" i="16"/>
  <c r="F23" i="16"/>
  <c r="F22" i="16" s="1"/>
  <c r="G45" i="16"/>
  <c r="G48" i="16"/>
  <c r="F47" i="16"/>
  <c r="F44" i="16" s="1"/>
  <c r="G81" i="16"/>
  <c r="F68" i="16"/>
  <c r="F8" i="16"/>
  <c r="F15" i="16"/>
  <c r="C162" i="16"/>
  <c r="C156" i="16"/>
  <c r="E193" i="16"/>
  <c r="E192" i="16"/>
  <c r="E191" i="16"/>
  <c r="E167" i="16"/>
  <c r="E169" i="16" s="1"/>
  <c r="G134" i="16"/>
  <c r="F132" i="16"/>
  <c r="F17" i="16"/>
  <c r="F33" i="16"/>
  <c r="F34" i="16"/>
  <c r="F35" i="16"/>
  <c r="F36" i="16"/>
  <c r="F37" i="16"/>
  <c r="F38" i="16"/>
  <c r="E66" i="16"/>
  <c r="E65" i="16" s="1"/>
  <c r="E72" i="16"/>
  <c r="E71" i="16" s="1"/>
  <c r="F83" i="16"/>
  <c r="F126" i="16" s="1"/>
  <c r="F168" i="16" s="1"/>
  <c r="F84" i="16"/>
  <c r="E96" i="16"/>
  <c r="E95" i="16" s="1"/>
  <c r="E105" i="16"/>
  <c r="E106" i="16"/>
  <c r="E109" i="16"/>
  <c r="E124" i="16"/>
  <c r="E123" i="16" s="1"/>
  <c r="D169" i="16"/>
  <c r="D191" i="16"/>
  <c r="D192" i="16"/>
  <c r="F80" i="16" l="1"/>
  <c r="F186" i="16"/>
  <c r="G102" i="16"/>
  <c r="H103" i="16"/>
  <c r="C4" i="16"/>
  <c r="C152" i="16"/>
  <c r="C153" i="16" s="1"/>
  <c r="C79" i="16"/>
  <c r="D159" i="16"/>
  <c r="D94" i="16"/>
  <c r="D93" i="16" s="1"/>
  <c r="E161" i="16"/>
  <c r="E155" i="16"/>
  <c r="F124" i="16"/>
  <c r="F123" i="16" s="1"/>
  <c r="E114" i="16"/>
  <c r="E159" i="16" s="1"/>
  <c r="E172" i="16"/>
  <c r="F109" i="16"/>
  <c r="E108" i="16"/>
  <c r="E178" i="16"/>
  <c r="F99" i="16"/>
  <c r="G84" i="16"/>
  <c r="F193" i="16"/>
  <c r="F192" i="16"/>
  <c r="F191" i="16"/>
  <c r="F167" i="16"/>
  <c r="G83" i="16"/>
  <c r="G126" i="16" s="1"/>
  <c r="G168" i="16" s="1"/>
  <c r="E175" i="16"/>
  <c r="E181" i="16"/>
  <c r="E63" i="16"/>
  <c r="F67" i="16"/>
  <c r="G38" i="16"/>
  <c r="F97" i="16"/>
  <c r="G37" i="16"/>
  <c r="F171" i="16"/>
  <c r="G36" i="16"/>
  <c r="F174" i="16"/>
  <c r="F106" i="16"/>
  <c r="F105" i="16"/>
  <c r="F104" i="16" s="1"/>
  <c r="F72" i="16"/>
  <c r="F71" i="16" s="1"/>
  <c r="G35" i="16"/>
  <c r="F180" i="16"/>
  <c r="F66" i="16"/>
  <c r="F65" i="16" s="1"/>
  <c r="G34" i="16"/>
  <c r="F177" i="16"/>
  <c r="F96" i="16"/>
  <c r="G33" i="16"/>
  <c r="F32" i="16"/>
  <c r="F31" i="16" s="1"/>
  <c r="F30" i="16" s="1"/>
  <c r="F129" i="16"/>
  <c r="G17" i="16"/>
  <c r="H134" i="16"/>
  <c r="G132" i="16"/>
  <c r="F100" i="16"/>
  <c r="G15" i="16"/>
  <c r="F128" i="16"/>
  <c r="G8" i="16"/>
  <c r="G186" i="16" s="1"/>
  <c r="H81" i="16"/>
  <c r="G68" i="16"/>
  <c r="H48" i="16"/>
  <c r="G47" i="16"/>
  <c r="H45" i="16"/>
  <c r="G44" i="16"/>
  <c r="H24" i="16"/>
  <c r="G23" i="16"/>
  <c r="G22" i="16" s="1"/>
  <c r="H19" i="16"/>
  <c r="G18" i="16"/>
  <c r="H7" i="16"/>
  <c r="G6" i="16"/>
  <c r="E104" i="16"/>
  <c r="F21" i="16"/>
  <c r="F6" i="16"/>
  <c r="F5" i="16" s="1"/>
  <c r="G80" i="16" l="1"/>
  <c r="F127" i="16"/>
  <c r="F187" i="16"/>
  <c r="F188" i="16" s="1"/>
  <c r="H102" i="16"/>
  <c r="I103" i="16"/>
  <c r="F95" i="16"/>
  <c r="D42" i="16"/>
  <c r="D141" i="16"/>
  <c r="D152" i="16"/>
  <c r="D153" i="16" s="1"/>
  <c r="C161" i="16"/>
  <c r="C163" i="16" s="1"/>
  <c r="C142" i="16"/>
  <c r="C155" i="16"/>
  <c r="C157" i="16" s="1"/>
  <c r="F4" i="16"/>
  <c r="I7" i="16"/>
  <c r="I19" i="16"/>
  <c r="H18" i="16"/>
  <c r="I24" i="16"/>
  <c r="H23" i="16"/>
  <c r="H22" i="16" s="1"/>
  <c r="I45" i="16"/>
  <c r="I48" i="16"/>
  <c r="H47" i="16"/>
  <c r="H44" i="16" s="1"/>
  <c r="I81" i="16"/>
  <c r="H68" i="16"/>
  <c r="G128" i="16"/>
  <c r="H8" i="16"/>
  <c r="G100" i="16"/>
  <c r="H15" i="16"/>
  <c r="I134" i="16"/>
  <c r="H132" i="16"/>
  <c r="G129" i="16"/>
  <c r="H17" i="16"/>
  <c r="G177" i="16"/>
  <c r="G96" i="16"/>
  <c r="H33" i="16"/>
  <c r="H177" i="16" s="1"/>
  <c r="G32" i="16"/>
  <c r="G31" i="16" s="1"/>
  <c r="G30" i="16" s="1"/>
  <c r="F178" i="16"/>
  <c r="G180" i="16"/>
  <c r="G66" i="16"/>
  <c r="H34" i="16"/>
  <c r="F181" i="16"/>
  <c r="G174" i="16"/>
  <c r="G106" i="16"/>
  <c r="G105" i="16"/>
  <c r="G104" i="16" s="1"/>
  <c r="G72" i="16"/>
  <c r="G71" i="16" s="1"/>
  <c r="H35" i="16"/>
  <c r="H174" i="16" s="1"/>
  <c r="F175" i="16"/>
  <c r="F63" i="16"/>
  <c r="G171" i="16"/>
  <c r="H36" i="16"/>
  <c r="G97" i="16"/>
  <c r="H37" i="16"/>
  <c r="G67" i="16"/>
  <c r="H38" i="16"/>
  <c r="E43" i="16"/>
  <c r="G193" i="16"/>
  <c r="G192" i="16"/>
  <c r="G191" i="16"/>
  <c r="G167" i="16"/>
  <c r="G169" i="16" s="1"/>
  <c r="H83" i="16"/>
  <c r="H126" i="16" s="1"/>
  <c r="H168" i="16" s="1"/>
  <c r="G99" i="16"/>
  <c r="H84" i="16"/>
  <c r="F172" i="16"/>
  <c r="G109" i="16"/>
  <c r="F108" i="16"/>
  <c r="G124" i="16"/>
  <c r="G123" i="16" s="1"/>
  <c r="F114" i="16"/>
  <c r="F159" i="16" s="1"/>
  <c r="G21" i="16"/>
  <c r="G5" i="16" s="1"/>
  <c r="F169" i="16"/>
  <c r="E94" i="16"/>
  <c r="E93" i="16" s="1"/>
  <c r="E141" i="16" s="1"/>
  <c r="D128" i="2"/>
  <c r="E78" i="2"/>
  <c r="D138" i="2"/>
  <c r="E126" i="2"/>
  <c r="F126" i="2" s="1"/>
  <c r="G126" i="2" s="1"/>
  <c r="H126" i="2" s="1"/>
  <c r="I126" i="2" s="1"/>
  <c r="J126" i="2" s="1"/>
  <c r="K126" i="2" s="1"/>
  <c r="L126" i="2" s="1"/>
  <c r="M126" i="2" s="1"/>
  <c r="E125" i="2"/>
  <c r="F125" i="2" s="1"/>
  <c r="G125" i="2" s="1"/>
  <c r="H125" i="2" s="1"/>
  <c r="I125" i="2" s="1"/>
  <c r="J125" i="2" s="1"/>
  <c r="K125" i="2" s="1"/>
  <c r="L125" i="2" s="1"/>
  <c r="M125" i="2" s="1"/>
  <c r="E121" i="2"/>
  <c r="F121" i="2" l="1"/>
  <c r="D191" i="2"/>
  <c r="D130" i="2"/>
  <c r="H186" i="16"/>
  <c r="H80" i="16"/>
  <c r="I36" i="16"/>
  <c r="H171" i="16"/>
  <c r="H180" i="16"/>
  <c r="G65" i="16"/>
  <c r="G187" i="16"/>
  <c r="G188" i="16" s="1"/>
  <c r="I102" i="16"/>
  <c r="J103" i="16"/>
  <c r="G95" i="16"/>
  <c r="E119" i="2"/>
  <c r="F78" i="2"/>
  <c r="D156" i="16"/>
  <c r="D157" i="16" s="1"/>
  <c r="D142" i="16"/>
  <c r="D162" i="16"/>
  <c r="D163" i="16" s="1"/>
  <c r="G4" i="16"/>
  <c r="F43" i="16"/>
  <c r="H124" i="16"/>
  <c r="H123" i="16" s="1"/>
  <c r="G172" i="16"/>
  <c r="H109" i="16"/>
  <c r="G108" i="16"/>
  <c r="H99" i="16"/>
  <c r="I84" i="16"/>
  <c r="H193" i="16"/>
  <c r="H192" i="16"/>
  <c r="H191" i="16"/>
  <c r="H167" i="16"/>
  <c r="I83" i="16"/>
  <c r="I126" i="16" s="1"/>
  <c r="I168" i="16" s="1"/>
  <c r="E42" i="16"/>
  <c r="E79" i="16"/>
  <c r="H67" i="16"/>
  <c r="I38" i="16"/>
  <c r="H97" i="16"/>
  <c r="I37" i="16"/>
  <c r="H106" i="16"/>
  <c r="H105" i="16"/>
  <c r="H72" i="16"/>
  <c r="I35" i="16"/>
  <c r="I174" i="16" s="1"/>
  <c r="G175" i="16"/>
  <c r="H66" i="16"/>
  <c r="I34" i="16"/>
  <c r="I180" i="16" s="1"/>
  <c r="H96" i="16"/>
  <c r="H178" i="16" s="1"/>
  <c r="I33" i="16"/>
  <c r="I177" i="16" s="1"/>
  <c r="H32" i="16"/>
  <c r="H31" i="16" s="1"/>
  <c r="H30" i="16" s="1"/>
  <c r="G178" i="16"/>
  <c r="H129" i="16"/>
  <c r="I17" i="16"/>
  <c r="J134" i="16"/>
  <c r="I132" i="16"/>
  <c r="H100" i="16"/>
  <c r="I15" i="16"/>
  <c r="H128" i="16"/>
  <c r="I8" i="16"/>
  <c r="I186" i="16" s="1"/>
  <c r="J81" i="16"/>
  <c r="I68" i="16"/>
  <c r="J48" i="16"/>
  <c r="I47" i="16"/>
  <c r="J45" i="16"/>
  <c r="I44" i="16"/>
  <c r="J24" i="16"/>
  <c r="I23" i="16"/>
  <c r="I22" i="16" s="1"/>
  <c r="J19" i="16"/>
  <c r="I18" i="16"/>
  <c r="J7" i="16"/>
  <c r="I6" i="16"/>
  <c r="F161" i="16"/>
  <c r="F155" i="16"/>
  <c r="E152" i="16"/>
  <c r="E153" i="16" s="1"/>
  <c r="F94" i="16"/>
  <c r="F93" i="16" s="1"/>
  <c r="F141" i="16" s="1"/>
  <c r="G127" i="16"/>
  <c r="H21" i="16"/>
  <c r="H6" i="16"/>
  <c r="D124" i="2"/>
  <c r="F119" i="2" l="1"/>
  <c r="F118" i="2" s="1"/>
  <c r="E118" i="2"/>
  <c r="G121" i="2"/>
  <c r="H5" i="16"/>
  <c r="I80" i="16"/>
  <c r="H175" i="16"/>
  <c r="H71" i="16"/>
  <c r="J36" i="16"/>
  <c r="I171" i="16"/>
  <c r="H127" i="16"/>
  <c r="H187" i="16"/>
  <c r="H188" i="16" s="1"/>
  <c r="J102" i="16"/>
  <c r="K103" i="16"/>
  <c r="H95" i="16"/>
  <c r="H104" i="16"/>
  <c r="H65" i="16"/>
  <c r="G78" i="2"/>
  <c r="H4" i="16"/>
  <c r="G181" i="16"/>
  <c r="G63" i="16"/>
  <c r="K7" i="16"/>
  <c r="K19" i="16"/>
  <c r="J18" i="16"/>
  <c r="K24" i="16"/>
  <c r="J23" i="16"/>
  <c r="J22" i="16" s="1"/>
  <c r="K45" i="16"/>
  <c r="K48" i="16"/>
  <c r="J47" i="16"/>
  <c r="J44" i="16" s="1"/>
  <c r="K81" i="16"/>
  <c r="J68" i="16"/>
  <c r="I128" i="16"/>
  <c r="J8" i="16"/>
  <c r="I100" i="16"/>
  <c r="J15" i="16"/>
  <c r="K134" i="16"/>
  <c r="J132" i="16"/>
  <c r="I129" i="16"/>
  <c r="J17" i="16"/>
  <c r="I96" i="16"/>
  <c r="I178" i="16" s="1"/>
  <c r="J33" i="16"/>
  <c r="J177" i="16" s="1"/>
  <c r="I32" i="16"/>
  <c r="I31" i="16" s="1"/>
  <c r="I30" i="16" s="1"/>
  <c r="I66" i="16"/>
  <c r="J34" i="16"/>
  <c r="I106" i="16"/>
  <c r="I105" i="16"/>
  <c r="I72" i="16"/>
  <c r="J35" i="16"/>
  <c r="J174" i="16" s="1"/>
  <c r="I97" i="16"/>
  <c r="J37" i="16"/>
  <c r="I67" i="16"/>
  <c r="J38" i="16"/>
  <c r="E162" i="16"/>
  <c r="E163" i="16" s="1"/>
  <c r="E156" i="16"/>
  <c r="E157" i="16" s="1"/>
  <c r="E142" i="16"/>
  <c r="I193" i="16"/>
  <c r="I192" i="16"/>
  <c r="I191" i="16"/>
  <c r="I167" i="16"/>
  <c r="I169" i="16" s="1"/>
  <c r="J83" i="16"/>
  <c r="J126" i="16" s="1"/>
  <c r="J168" i="16" s="1"/>
  <c r="I99" i="16"/>
  <c r="J84" i="16"/>
  <c r="I109" i="16"/>
  <c r="H108" i="16"/>
  <c r="H94" i="16" s="1"/>
  <c r="H93" i="16" s="1"/>
  <c r="H136" i="16"/>
  <c r="H135" i="16" s="1"/>
  <c r="I124" i="16"/>
  <c r="I123" i="16" s="1"/>
  <c r="H114" i="16"/>
  <c r="H159" i="16" s="1"/>
  <c r="F42" i="16"/>
  <c r="F79" i="16"/>
  <c r="G161" i="16"/>
  <c r="G155" i="16"/>
  <c r="I21" i="16"/>
  <c r="I5" i="16" s="1"/>
  <c r="H169" i="16"/>
  <c r="G114" i="16"/>
  <c r="G159" i="16" s="1"/>
  <c r="F152" i="16"/>
  <c r="F153" i="16" s="1"/>
  <c r="G119" i="2" l="1"/>
  <c r="G118" i="2" s="1"/>
  <c r="H121" i="2"/>
  <c r="J186" i="16"/>
  <c r="I104" i="16"/>
  <c r="J80" i="16"/>
  <c r="I175" i="16"/>
  <c r="I71" i="16"/>
  <c r="K36" i="16"/>
  <c r="J171" i="16"/>
  <c r="J180" i="16"/>
  <c r="I65" i="16"/>
  <c r="I181" i="16" s="1"/>
  <c r="I187" i="16"/>
  <c r="I188" i="16" s="1"/>
  <c r="H172" i="16"/>
  <c r="H63" i="16"/>
  <c r="H43" i="16" s="1"/>
  <c r="H79" i="16" s="1"/>
  <c r="H181" i="16"/>
  <c r="K102" i="16"/>
  <c r="L103" i="16"/>
  <c r="H42" i="16"/>
  <c r="H156" i="16" s="1"/>
  <c r="H78" i="2"/>
  <c r="I78" i="2" s="1"/>
  <c r="J78" i="2" s="1"/>
  <c r="K78" i="2" s="1"/>
  <c r="L78" i="2" s="1"/>
  <c r="M78" i="2" s="1"/>
  <c r="I95" i="16"/>
  <c r="H162" i="16"/>
  <c r="I4" i="16"/>
  <c r="F162" i="16"/>
  <c r="F163" i="16" s="1"/>
  <c r="F156" i="16"/>
  <c r="F157" i="16" s="1"/>
  <c r="F142" i="16"/>
  <c r="I136" i="16"/>
  <c r="I135" i="16" s="1"/>
  <c r="J124" i="16"/>
  <c r="J123" i="16" s="1"/>
  <c r="J109" i="16"/>
  <c r="I108" i="16"/>
  <c r="J99" i="16"/>
  <c r="K84" i="16"/>
  <c r="J193" i="16"/>
  <c r="J192" i="16"/>
  <c r="J191" i="16"/>
  <c r="J167" i="16"/>
  <c r="K83" i="16"/>
  <c r="K126" i="16" s="1"/>
  <c r="K168" i="16" s="1"/>
  <c r="J67" i="16"/>
  <c r="K38" i="16"/>
  <c r="J97" i="16"/>
  <c r="K37" i="16"/>
  <c r="J106" i="16"/>
  <c r="J105" i="16"/>
  <c r="J72" i="16"/>
  <c r="K35" i="16"/>
  <c r="K174" i="16" s="1"/>
  <c r="J66" i="16"/>
  <c r="J65" i="16" s="1"/>
  <c r="J181" i="16" s="1"/>
  <c r="K34" i="16"/>
  <c r="K180" i="16" s="1"/>
  <c r="J96" i="16"/>
  <c r="J178" i="16" s="1"/>
  <c r="K33" i="16"/>
  <c r="K177" i="16" s="1"/>
  <c r="J32" i="16"/>
  <c r="J31" i="16" s="1"/>
  <c r="J30" i="16" s="1"/>
  <c r="J129" i="16"/>
  <c r="K17" i="16"/>
  <c r="L134" i="16"/>
  <c r="K132" i="16"/>
  <c r="J100" i="16"/>
  <c r="K15" i="16"/>
  <c r="J128" i="16"/>
  <c r="K8" i="16"/>
  <c r="K186" i="16" s="1"/>
  <c r="L81" i="16"/>
  <c r="K68" i="16"/>
  <c r="L48" i="16"/>
  <c r="K47" i="16"/>
  <c r="L45" i="16"/>
  <c r="K44" i="16"/>
  <c r="L24" i="16"/>
  <c r="K23" i="16"/>
  <c r="K22" i="16" s="1"/>
  <c r="L19" i="16"/>
  <c r="K18" i="16"/>
  <c r="L7" i="16"/>
  <c r="K6" i="16"/>
  <c r="G43" i="16"/>
  <c r="H161" i="16"/>
  <c r="H155" i="16"/>
  <c r="G94" i="16"/>
  <c r="G93" i="16" s="1"/>
  <c r="G141" i="16" s="1"/>
  <c r="H141" i="16"/>
  <c r="I63" i="16"/>
  <c r="I43" i="16" s="1"/>
  <c r="I127" i="16"/>
  <c r="J21" i="16"/>
  <c r="J6" i="16"/>
  <c r="H152" i="16"/>
  <c r="H153" i="16" s="1"/>
  <c r="H119" i="2" l="1"/>
  <c r="H118" i="2" s="1"/>
  <c r="I121" i="2"/>
  <c r="J5" i="16"/>
  <c r="H142" i="16"/>
  <c r="H163" i="16"/>
  <c r="K80" i="16"/>
  <c r="J175" i="16"/>
  <c r="J71" i="16"/>
  <c r="J63" i="16" s="1"/>
  <c r="J43" i="16" s="1"/>
  <c r="J79" i="16" s="1"/>
  <c r="L36" i="16"/>
  <c r="K171" i="16"/>
  <c r="J127" i="16"/>
  <c r="J187" i="16"/>
  <c r="J188" i="16" s="1"/>
  <c r="J95" i="16"/>
  <c r="I172" i="16"/>
  <c r="L102" i="16"/>
  <c r="M103" i="16"/>
  <c r="M102" i="16" s="1"/>
  <c r="H157" i="16"/>
  <c r="J104" i="16"/>
  <c r="J4" i="16"/>
  <c r="G42" i="16"/>
  <c r="G79" i="16"/>
  <c r="M7" i="16"/>
  <c r="M19" i="16"/>
  <c r="M18" i="16" s="1"/>
  <c r="L18" i="16"/>
  <c r="M24" i="16"/>
  <c r="M23" i="16" s="1"/>
  <c r="M22" i="16" s="1"/>
  <c r="L23" i="16"/>
  <c r="L22" i="16" s="1"/>
  <c r="M45" i="16"/>
  <c r="M48" i="16"/>
  <c r="M47" i="16" s="1"/>
  <c r="L47" i="16"/>
  <c r="L44" i="16" s="1"/>
  <c r="M81" i="16"/>
  <c r="L68" i="16"/>
  <c r="K128" i="16"/>
  <c r="L8" i="16"/>
  <c r="K100" i="16"/>
  <c r="L15" i="16"/>
  <c r="M134" i="16"/>
  <c r="M132" i="16" s="1"/>
  <c r="L132" i="16"/>
  <c r="K129" i="16"/>
  <c r="L17" i="16"/>
  <c r="K96" i="16"/>
  <c r="K178" i="16" s="1"/>
  <c r="L33" i="16"/>
  <c r="L177" i="16" s="1"/>
  <c r="K32" i="16"/>
  <c r="K31" i="16" s="1"/>
  <c r="K30" i="16" s="1"/>
  <c r="K66" i="16"/>
  <c r="L34" i="16"/>
  <c r="K106" i="16"/>
  <c r="K105" i="16"/>
  <c r="K72" i="16"/>
  <c r="L35" i="16"/>
  <c r="L174" i="16" s="1"/>
  <c r="K97" i="16"/>
  <c r="L37" i="16"/>
  <c r="K67" i="16"/>
  <c r="L38" i="16"/>
  <c r="K193" i="16"/>
  <c r="K192" i="16"/>
  <c r="K191" i="16"/>
  <c r="K167" i="16"/>
  <c r="K169" i="16" s="1"/>
  <c r="L83" i="16"/>
  <c r="L126" i="16" s="1"/>
  <c r="L168" i="16" s="1"/>
  <c r="K99" i="16"/>
  <c r="L84" i="16"/>
  <c r="K109" i="16"/>
  <c r="J108" i="16"/>
  <c r="J136" i="16"/>
  <c r="J135" i="16" s="1"/>
  <c r="K124" i="16"/>
  <c r="K123" i="16" s="1"/>
  <c r="J114" i="16"/>
  <c r="J159" i="16" s="1"/>
  <c r="I161" i="16"/>
  <c r="I155" i="16"/>
  <c r="G152" i="16"/>
  <c r="G153" i="16" s="1"/>
  <c r="K21" i="16"/>
  <c r="K5" i="16" s="1"/>
  <c r="J169" i="16"/>
  <c r="I114" i="16"/>
  <c r="I159" i="16" s="1"/>
  <c r="I79" i="16"/>
  <c r="I119" i="2"/>
  <c r="K104" i="16" l="1"/>
  <c r="I118" i="2"/>
  <c r="J121" i="2"/>
  <c r="L186" i="16"/>
  <c r="L80" i="16"/>
  <c r="K175" i="16"/>
  <c r="K71" i="16"/>
  <c r="M36" i="16"/>
  <c r="M171" i="16" s="1"/>
  <c r="L171" i="16"/>
  <c r="L180" i="16"/>
  <c r="K65" i="16"/>
  <c r="K181" i="16" s="1"/>
  <c r="K187" i="16"/>
  <c r="K188" i="16" s="1"/>
  <c r="J172" i="16"/>
  <c r="J94" i="16"/>
  <c r="J93" i="16" s="1"/>
  <c r="J42" i="16" s="1"/>
  <c r="J156" i="16" s="1"/>
  <c r="K95" i="16"/>
  <c r="J162" i="16"/>
  <c r="K4" i="16"/>
  <c r="K136" i="16"/>
  <c r="K135" i="16" s="1"/>
  <c r="L124" i="16"/>
  <c r="L123" i="16" s="1"/>
  <c r="L109" i="16"/>
  <c r="K108" i="16"/>
  <c r="L99" i="16"/>
  <c r="M84" i="16"/>
  <c r="M99" i="16" s="1"/>
  <c r="L193" i="16"/>
  <c r="L192" i="16"/>
  <c r="L191" i="16"/>
  <c r="L167" i="16"/>
  <c r="M83" i="16"/>
  <c r="M126" i="16" s="1"/>
  <c r="M168" i="16" s="1"/>
  <c r="L67" i="16"/>
  <c r="M38" i="16"/>
  <c r="M67" i="16" s="1"/>
  <c r="L97" i="16"/>
  <c r="M37" i="16"/>
  <c r="M97" i="16" s="1"/>
  <c r="L106" i="16"/>
  <c r="L105" i="16"/>
  <c r="L72" i="16"/>
  <c r="M35" i="16"/>
  <c r="M174" i="16" s="1"/>
  <c r="L66" i="16"/>
  <c r="M34" i="16"/>
  <c r="L96" i="16"/>
  <c r="L178" i="16" s="1"/>
  <c r="M33" i="16"/>
  <c r="M177" i="16" s="1"/>
  <c r="L32" i="16"/>
  <c r="L31" i="16" s="1"/>
  <c r="L30" i="16" s="1"/>
  <c r="L21" i="16" s="1"/>
  <c r="L129" i="16"/>
  <c r="M17" i="16"/>
  <c r="M129" i="16" s="1"/>
  <c r="L100" i="16"/>
  <c r="M15" i="16"/>
  <c r="M100" i="16" s="1"/>
  <c r="L128" i="16"/>
  <c r="M8" i="16"/>
  <c r="M128" i="16" s="1"/>
  <c r="M68" i="16"/>
  <c r="G162" i="16"/>
  <c r="G163" i="16" s="1"/>
  <c r="G156" i="16"/>
  <c r="G157" i="16" s="1"/>
  <c r="G142" i="16"/>
  <c r="J161" i="16"/>
  <c r="J163" i="16" s="1"/>
  <c r="J155" i="16"/>
  <c r="J142" i="16"/>
  <c r="I94" i="16"/>
  <c r="I93" i="16" s="1"/>
  <c r="J141" i="16"/>
  <c r="K63" i="16"/>
  <c r="K43" i="16" s="1"/>
  <c r="K127" i="16"/>
  <c r="M44" i="16"/>
  <c r="L6" i="16"/>
  <c r="J152" i="16"/>
  <c r="J153" i="16" s="1"/>
  <c r="J119" i="2"/>
  <c r="J118" i="2" s="1"/>
  <c r="K121" i="2" l="1"/>
  <c r="M6" i="16"/>
  <c r="L104" i="16"/>
  <c r="M80" i="16"/>
  <c r="M66" i="16"/>
  <c r="M180" i="16"/>
  <c r="L175" i="16"/>
  <c r="L71" i="16"/>
  <c r="M127" i="16"/>
  <c r="M187" i="16"/>
  <c r="L127" i="16"/>
  <c r="L187" i="16"/>
  <c r="L188" i="16" s="1"/>
  <c r="M186" i="16"/>
  <c r="K172" i="16"/>
  <c r="L5" i="16"/>
  <c r="L4" i="16" s="1"/>
  <c r="L95" i="16"/>
  <c r="L65" i="16"/>
  <c r="J157" i="16"/>
  <c r="M65" i="16"/>
  <c r="M181" i="16" s="1"/>
  <c r="I141" i="16"/>
  <c r="I42" i="16"/>
  <c r="I152" i="16"/>
  <c r="I153" i="16" s="1"/>
  <c r="M96" i="16"/>
  <c r="M32" i="16"/>
  <c r="M31" i="16" s="1"/>
  <c r="M30" i="16" s="1"/>
  <c r="M21" i="16" s="1"/>
  <c r="M5" i="16" s="1"/>
  <c r="M106" i="16"/>
  <c r="M105" i="16"/>
  <c r="M72" i="16"/>
  <c r="M193" i="16"/>
  <c r="M192" i="16"/>
  <c r="M191" i="16"/>
  <c r="M167" i="16"/>
  <c r="M169" i="16" s="1"/>
  <c r="M109" i="16"/>
  <c r="L108" i="16"/>
  <c r="L136" i="16"/>
  <c r="L135" i="16" s="1"/>
  <c r="M124" i="16"/>
  <c r="M123" i="16" s="1"/>
  <c r="L114" i="16"/>
  <c r="L159" i="16" s="1"/>
  <c r="K161" i="16"/>
  <c r="K155" i="16"/>
  <c r="L169" i="16"/>
  <c r="K114" i="16"/>
  <c r="K159" i="16" s="1"/>
  <c r="K79" i="16"/>
  <c r="K119" i="2"/>
  <c r="K118" i="2" s="1"/>
  <c r="L121" i="2" l="1"/>
  <c r="M104" i="16"/>
  <c r="M175" i="16"/>
  <c r="M71" i="16"/>
  <c r="M63" i="16" s="1"/>
  <c r="M43" i="16" s="1"/>
  <c r="M95" i="16"/>
  <c r="M178" i="16"/>
  <c r="M188" i="16"/>
  <c r="L172" i="16"/>
  <c r="M108" i="16"/>
  <c r="L63" i="16"/>
  <c r="L43" i="16" s="1"/>
  <c r="L79" i="16" s="1"/>
  <c r="L181" i="16"/>
  <c r="L94" i="16"/>
  <c r="L93" i="16" s="1"/>
  <c r="L141" i="16" s="1"/>
  <c r="M79" i="16"/>
  <c r="M4" i="16"/>
  <c r="M136" i="16"/>
  <c r="M135" i="16" s="1"/>
  <c r="M114" i="16" s="1"/>
  <c r="I162" i="16"/>
  <c r="I163" i="16" s="1"/>
  <c r="I156" i="16"/>
  <c r="I157" i="16" s="1"/>
  <c r="I142" i="16"/>
  <c r="L161" i="16"/>
  <c r="L155" i="16"/>
  <c r="K94" i="16"/>
  <c r="K93" i="16" s="1"/>
  <c r="L119" i="2"/>
  <c r="L118" i="2" s="1"/>
  <c r="M121" i="2" l="1"/>
  <c r="M159" i="16"/>
  <c r="M94" i="16"/>
  <c r="M93" i="16" s="1"/>
  <c r="M141" i="16" s="1"/>
  <c r="L152" i="16"/>
  <c r="L153" i="16" s="1"/>
  <c r="L42" i="16"/>
  <c r="M172" i="16"/>
  <c r="K141" i="16"/>
  <c r="K42" i="16"/>
  <c r="K152" i="16"/>
  <c r="K153" i="16" s="1"/>
  <c r="M161" i="16"/>
  <c r="M155" i="16"/>
  <c r="M152" i="16"/>
  <c r="M153" i="16" s="1"/>
  <c r="M42" i="16"/>
  <c r="M119" i="2"/>
  <c r="M118" i="2" s="1"/>
  <c r="L156" i="16" l="1"/>
  <c r="L157" i="16" s="1"/>
  <c r="L142" i="16"/>
  <c r="L162" i="16"/>
  <c r="L163" i="16" s="1"/>
  <c r="M162" i="16"/>
  <c r="M163" i="16" s="1"/>
  <c r="M156" i="16"/>
  <c r="M157" i="16" s="1"/>
  <c r="K162" i="16"/>
  <c r="K163" i="16" s="1"/>
  <c r="K156" i="16"/>
  <c r="K157" i="16" s="1"/>
  <c r="K142" i="16"/>
  <c r="M142" i="16"/>
  <c r="E54" i="2"/>
  <c r="F54" i="2" s="1"/>
  <c r="G54" i="2" s="1"/>
  <c r="H54" i="2" s="1"/>
  <c r="I54" i="2" s="1"/>
  <c r="J54" i="2" s="1"/>
  <c r="K54" i="2" s="1"/>
  <c r="L54" i="2" s="1"/>
  <c r="M54" i="2" s="1"/>
  <c r="E52" i="2"/>
  <c r="F52" i="2" s="1"/>
  <c r="G52" i="2" s="1"/>
  <c r="H52" i="2" s="1"/>
  <c r="I52" i="2" s="1"/>
  <c r="J52" i="2" s="1"/>
  <c r="K52" i="2" s="1"/>
  <c r="L52" i="2" s="1"/>
  <c r="M52" i="2" s="1"/>
  <c r="E51" i="2"/>
  <c r="E124" i="2"/>
  <c r="F124" i="2" s="1"/>
  <c r="G124" i="2" s="1"/>
  <c r="H124" i="2" s="1"/>
  <c r="I124" i="2" s="1"/>
  <c r="J124" i="2" s="1"/>
  <c r="K124" i="2" s="1"/>
  <c r="L124" i="2" s="1"/>
  <c r="M124" i="2" s="1"/>
  <c r="D148" i="2"/>
  <c r="F46" i="2"/>
  <c r="E75" i="2"/>
  <c r="E41" i="2"/>
  <c r="E42" i="2"/>
  <c r="E181" i="2" s="1"/>
  <c r="E43" i="2"/>
  <c r="E110" i="2" s="1"/>
  <c r="E109" i="2" s="1"/>
  <c r="E103" i="2" s="1"/>
  <c r="E44" i="2"/>
  <c r="E24" i="2"/>
  <c r="F24" i="2" s="1"/>
  <c r="G24" i="2" s="1"/>
  <c r="H24" i="2" s="1"/>
  <c r="I24" i="2" s="1"/>
  <c r="J24" i="2" s="1"/>
  <c r="K24" i="2" s="1"/>
  <c r="L24" i="2" s="1"/>
  <c r="M24" i="2" s="1"/>
  <c r="E8" i="2"/>
  <c r="E131" i="2" s="1"/>
  <c r="E9" i="2"/>
  <c r="E10" i="2"/>
  <c r="F10" i="2" s="1"/>
  <c r="G10" i="2" s="1"/>
  <c r="H10" i="2" s="1"/>
  <c r="I10" i="2" s="1"/>
  <c r="J10" i="2" s="1"/>
  <c r="K10" i="2" s="1"/>
  <c r="L10" i="2" s="1"/>
  <c r="M10" i="2" s="1"/>
  <c r="E11" i="2"/>
  <c r="F11" i="2" s="1"/>
  <c r="G11" i="2" s="1"/>
  <c r="H11" i="2" s="1"/>
  <c r="I11" i="2" s="1"/>
  <c r="J11" i="2" s="1"/>
  <c r="K11" i="2" s="1"/>
  <c r="L11" i="2" s="1"/>
  <c r="M11" i="2" s="1"/>
  <c r="E12" i="2"/>
  <c r="F12" i="2" s="1"/>
  <c r="G12" i="2" s="1"/>
  <c r="H12" i="2" s="1"/>
  <c r="I12" i="2" s="1"/>
  <c r="J12" i="2" s="1"/>
  <c r="K12" i="2" s="1"/>
  <c r="L12" i="2" s="1"/>
  <c r="M12" i="2" s="1"/>
  <c r="E13" i="2"/>
  <c r="F13" i="2" s="1"/>
  <c r="G13" i="2" s="1"/>
  <c r="H13" i="2" s="1"/>
  <c r="I13" i="2" s="1"/>
  <c r="J13" i="2" s="1"/>
  <c r="K13" i="2" s="1"/>
  <c r="L13" i="2" s="1"/>
  <c r="M13" i="2" s="1"/>
  <c r="E14" i="2"/>
  <c r="E15" i="2"/>
  <c r="E16" i="2"/>
  <c r="E17" i="2"/>
  <c r="E7" i="2"/>
  <c r="F7" i="2" s="1"/>
  <c r="G7" i="2" s="1"/>
  <c r="H7" i="2" s="1"/>
  <c r="I7" i="2" s="1"/>
  <c r="J7" i="2" s="1"/>
  <c r="K7" i="2" s="1"/>
  <c r="L7" i="2" s="1"/>
  <c r="M7" i="2" s="1"/>
  <c r="F51" i="2" l="1"/>
  <c r="G51" i="2" s="1"/>
  <c r="H51" i="2" s="1"/>
  <c r="I51" i="2" s="1"/>
  <c r="J51" i="2" s="1"/>
  <c r="K51" i="2" s="1"/>
  <c r="L51" i="2" s="1"/>
  <c r="M51" i="2" s="1"/>
  <c r="F16" i="2"/>
  <c r="E140" i="2"/>
  <c r="F9" i="2"/>
  <c r="E132" i="2"/>
  <c r="E130" i="2" s="1"/>
  <c r="E187" i="2"/>
  <c r="E191" i="2"/>
  <c r="F14" i="2"/>
  <c r="E184" i="2"/>
  <c r="E32" i="2"/>
  <c r="F8" i="2"/>
  <c r="F131" i="2" s="1"/>
  <c r="F44" i="2"/>
  <c r="E76" i="2"/>
  <c r="E74" i="2" s="1"/>
  <c r="F17" i="2"/>
  <c r="D81" i="2"/>
  <c r="F75" i="2"/>
  <c r="F15" i="2"/>
  <c r="F43" i="2"/>
  <c r="F110" i="2" s="1"/>
  <c r="F109" i="2" s="1"/>
  <c r="F103" i="2" s="1"/>
  <c r="F42" i="2"/>
  <c r="F181" i="2" s="1"/>
  <c r="F41" i="2"/>
  <c r="E138" i="2" l="1"/>
  <c r="E185" i="2"/>
  <c r="G16" i="2"/>
  <c r="F140" i="2"/>
  <c r="G9" i="2"/>
  <c r="F132" i="2"/>
  <c r="F130" i="2" s="1"/>
  <c r="F191" i="2"/>
  <c r="D69" i="2"/>
  <c r="D117" i="2"/>
  <c r="F32" i="2"/>
  <c r="F187" i="2"/>
  <c r="G14" i="2"/>
  <c r="F184" i="2"/>
  <c r="G17" i="2"/>
  <c r="G44" i="2"/>
  <c r="F76" i="2"/>
  <c r="F74" i="2" s="1"/>
  <c r="G8" i="2"/>
  <c r="G131" i="2" s="1"/>
  <c r="E81" i="2"/>
  <c r="E117" i="2" s="1"/>
  <c r="E188" i="2" s="1"/>
  <c r="G75" i="2"/>
  <c r="G43" i="2"/>
  <c r="G110" i="2" s="1"/>
  <c r="G109" i="2" s="1"/>
  <c r="G103" i="2" s="1"/>
  <c r="G15" i="2"/>
  <c r="G41" i="2"/>
  <c r="G42" i="2"/>
  <c r="G181" i="2" s="1"/>
  <c r="F138" i="2" l="1"/>
  <c r="F185" i="2"/>
  <c r="H16" i="2"/>
  <c r="G140" i="2"/>
  <c r="H9" i="2"/>
  <c r="G132" i="2"/>
  <c r="G130" i="2" s="1"/>
  <c r="E116" i="2"/>
  <c r="G191" i="2"/>
  <c r="D188" i="2"/>
  <c r="D116" i="2"/>
  <c r="E69" i="2"/>
  <c r="G32" i="2"/>
  <c r="G187" i="2"/>
  <c r="H14" i="2"/>
  <c r="G184" i="2"/>
  <c r="H8" i="2"/>
  <c r="H131" i="2" s="1"/>
  <c r="H44" i="2"/>
  <c r="G76" i="2"/>
  <c r="G74" i="2" s="1"/>
  <c r="H17" i="2"/>
  <c r="F81" i="2"/>
  <c r="F117" i="2" s="1"/>
  <c r="F188" i="2" s="1"/>
  <c r="H75" i="2"/>
  <c r="H15" i="2"/>
  <c r="H43" i="2"/>
  <c r="H110" i="2" s="1"/>
  <c r="H109" i="2" s="1"/>
  <c r="H103" i="2" s="1"/>
  <c r="H42" i="2"/>
  <c r="H181" i="2" s="1"/>
  <c r="H41" i="2"/>
  <c r="I16" i="2" l="1"/>
  <c r="H140" i="2"/>
  <c r="G138" i="2"/>
  <c r="G185" i="2"/>
  <c r="I9" i="2"/>
  <c r="H132" i="2"/>
  <c r="H130" i="2" s="1"/>
  <c r="H191" i="2"/>
  <c r="F116" i="2"/>
  <c r="H32" i="2"/>
  <c r="H187" i="2"/>
  <c r="I14" i="2"/>
  <c r="H184" i="2"/>
  <c r="F69" i="2"/>
  <c r="I17" i="2"/>
  <c r="I44" i="2"/>
  <c r="H76" i="2"/>
  <c r="H74" i="2" s="1"/>
  <c r="I8" i="2"/>
  <c r="I131" i="2" s="1"/>
  <c r="G81" i="2"/>
  <c r="G117" i="2" s="1"/>
  <c r="G188" i="2" s="1"/>
  <c r="I75" i="2"/>
  <c r="I43" i="2"/>
  <c r="I110" i="2" s="1"/>
  <c r="I109" i="2" s="1"/>
  <c r="I103" i="2" s="1"/>
  <c r="I15" i="2"/>
  <c r="I41" i="2"/>
  <c r="I42" i="2"/>
  <c r="I181" i="2" s="1"/>
  <c r="H185" i="2" l="1"/>
  <c r="H138" i="2"/>
  <c r="J16" i="2"/>
  <c r="I140" i="2"/>
  <c r="J9" i="2"/>
  <c r="I132" i="2"/>
  <c r="I130" i="2" s="1"/>
  <c r="G116" i="2"/>
  <c r="I191" i="2"/>
  <c r="I187" i="2"/>
  <c r="J14" i="2"/>
  <c r="I184" i="2"/>
  <c r="I32" i="2"/>
  <c r="G69" i="2"/>
  <c r="J8" i="2"/>
  <c r="J131" i="2" s="1"/>
  <c r="J44" i="2"/>
  <c r="I76" i="2"/>
  <c r="I74" i="2" s="1"/>
  <c r="J17" i="2"/>
  <c r="H81" i="2"/>
  <c r="H117" i="2" s="1"/>
  <c r="H188" i="2" s="1"/>
  <c r="J75" i="2"/>
  <c r="J15" i="2"/>
  <c r="J43" i="2"/>
  <c r="J110" i="2" s="1"/>
  <c r="J109" i="2" s="1"/>
  <c r="J103" i="2" s="1"/>
  <c r="J42" i="2"/>
  <c r="J181" i="2" s="1"/>
  <c r="J41" i="2"/>
  <c r="I185" i="2" l="1"/>
  <c r="I138" i="2"/>
  <c r="K16" i="2"/>
  <c r="J140" i="2"/>
  <c r="K9" i="2"/>
  <c r="J132" i="2"/>
  <c r="J130" i="2" s="1"/>
  <c r="H116" i="2"/>
  <c r="J187" i="2"/>
  <c r="J191" i="2"/>
  <c r="J32" i="2"/>
  <c r="K14" i="2"/>
  <c r="J184" i="2"/>
  <c r="H69" i="2"/>
  <c r="K17" i="2"/>
  <c r="K44" i="2"/>
  <c r="J76" i="2"/>
  <c r="J74" i="2" s="1"/>
  <c r="K8" i="2"/>
  <c r="K131" i="2" s="1"/>
  <c r="I81" i="2"/>
  <c r="I117" i="2" s="1"/>
  <c r="I188" i="2" s="1"/>
  <c r="K75" i="2"/>
  <c r="K43" i="2"/>
  <c r="K110" i="2" s="1"/>
  <c r="K109" i="2" s="1"/>
  <c r="K103" i="2" s="1"/>
  <c r="K15" i="2"/>
  <c r="K41" i="2"/>
  <c r="K42" i="2"/>
  <c r="K181" i="2" s="1"/>
  <c r="L16" i="2" l="1"/>
  <c r="K140" i="2"/>
  <c r="J138" i="2"/>
  <c r="J185" i="2"/>
  <c r="L9" i="2"/>
  <c r="K132" i="2"/>
  <c r="K130" i="2" s="1"/>
  <c r="I116" i="2"/>
  <c r="K191" i="2"/>
  <c r="K32" i="2"/>
  <c r="K187" i="2"/>
  <c r="L14" i="2"/>
  <c r="K184" i="2"/>
  <c r="I69" i="2"/>
  <c r="L8" i="2"/>
  <c r="L131" i="2" s="1"/>
  <c r="L44" i="2"/>
  <c r="K76" i="2"/>
  <c r="K74" i="2" s="1"/>
  <c r="L17" i="2"/>
  <c r="J81" i="2"/>
  <c r="J117" i="2" s="1"/>
  <c r="J188" i="2" s="1"/>
  <c r="L75" i="2"/>
  <c r="L15" i="2"/>
  <c r="L43" i="2"/>
  <c r="L110" i="2" s="1"/>
  <c r="L109" i="2" s="1"/>
  <c r="L103" i="2" s="1"/>
  <c r="L42" i="2"/>
  <c r="L181" i="2" s="1"/>
  <c r="L41" i="2"/>
  <c r="K138" i="2" l="1"/>
  <c r="K185" i="2"/>
  <c r="M16" i="2"/>
  <c r="M140" i="2" s="1"/>
  <c r="L140" i="2"/>
  <c r="M9" i="2"/>
  <c r="M132" i="2" s="1"/>
  <c r="L132" i="2"/>
  <c r="L130" i="2" s="1"/>
  <c r="L191" i="2"/>
  <c r="J116" i="2"/>
  <c r="L32" i="2"/>
  <c r="L187" i="2"/>
  <c r="M14" i="2"/>
  <c r="M184" i="2" s="1"/>
  <c r="L184" i="2"/>
  <c r="J69" i="2"/>
  <c r="M17" i="2"/>
  <c r="M44" i="2"/>
  <c r="M76" i="2" s="1"/>
  <c r="L76" i="2"/>
  <c r="L74" i="2" s="1"/>
  <c r="M8" i="2"/>
  <c r="M131" i="2" s="1"/>
  <c r="M130" i="2" s="1"/>
  <c r="K81" i="2"/>
  <c r="K117" i="2" s="1"/>
  <c r="K188" i="2" s="1"/>
  <c r="M75" i="2"/>
  <c r="M43" i="2"/>
  <c r="M110" i="2" s="1"/>
  <c r="M109" i="2" s="1"/>
  <c r="M103" i="2" s="1"/>
  <c r="M15" i="2"/>
  <c r="M41" i="2"/>
  <c r="M42" i="2"/>
  <c r="M181" i="2" s="1"/>
  <c r="M138" i="2" l="1"/>
  <c r="M185" i="2"/>
  <c r="L138" i="2"/>
  <c r="L185" i="2"/>
  <c r="K116" i="2"/>
  <c r="M191" i="2"/>
  <c r="M74" i="2"/>
  <c r="M187" i="2"/>
  <c r="M32" i="2"/>
  <c r="K69" i="2"/>
  <c r="M81" i="2"/>
  <c r="M117" i="2" s="1"/>
  <c r="M188" i="2" s="1"/>
  <c r="L81" i="2"/>
  <c r="E19" i="2"/>
  <c r="D23" i="2"/>
  <c r="E23" i="2"/>
  <c r="E18" i="8" s="1"/>
  <c r="F23" i="2"/>
  <c r="G23" i="2"/>
  <c r="G18" i="8" s="1"/>
  <c r="H23" i="2"/>
  <c r="I23" i="2"/>
  <c r="I18" i="8" s="1"/>
  <c r="J23" i="2"/>
  <c r="K23" i="2"/>
  <c r="K18" i="8" s="1"/>
  <c r="L23" i="2"/>
  <c r="M23" i="2"/>
  <c r="M18" i="8" s="1"/>
  <c r="D22" i="2"/>
  <c r="D7" i="9" s="1"/>
  <c r="E22" i="2"/>
  <c r="E7" i="9" s="1"/>
  <c r="F22" i="2"/>
  <c r="F7" i="9" s="1"/>
  <c r="G22" i="2"/>
  <c r="G7" i="9" s="1"/>
  <c r="H22" i="2"/>
  <c r="H7" i="9" s="1"/>
  <c r="I22" i="2"/>
  <c r="I7" i="9" s="1"/>
  <c r="J22" i="2"/>
  <c r="J7" i="9" s="1"/>
  <c r="K22" i="2"/>
  <c r="K7" i="9" s="1"/>
  <c r="L22" i="2"/>
  <c r="L7" i="9" s="1"/>
  <c r="M22" i="2"/>
  <c r="M7" i="9" s="1"/>
  <c r="C23" i="2"/>
  <c r="C22" i="2" s="1"/>
  <c r="O133" i="15"/>
  <c r="N133" i="15"/>
  <c r="P133" i="15" s="1"/>
  <c r="Q133" i="15" s="1"/>
  <c r="P132" i="15"/>
  <c r="P131" i="15"/>
  <c r="P130" i="15"/>
  <c r="P129" i="15"/>
  <c r="P128" i="15"/>
  <c r="P127" i="15"/>
  <c r="P126" i="15"/>
  <c r="P125" i="15"/>
  <c r="G104" i="15"/>
  <c r="N88" i="15"/>
  <c r="M88" i="15"/>
  <c r="N87" i="15"/>
  <c r="N86" i="15"/>
  <c r="N85" i="15"/>
  <c r="N84" i="15"/>
  <c r="N83" i="15"/>
  <c r="N82" i="15"/>
  <c r="N81" i="15"/>
  <c r="B1" i="15"/>
  <c r="B1" i="12"/>
  <c r="M26" i="9"/>
  <c r="L26" i="9"/>
  <c r="K26" i="9"/>
  <c r="C26" i="9"/>
  <c r="C23" i="9"/>
  <c r="C34" i="9" s="1"/>
  <c r="M20" i="9"/>
  <c r="L20" i="9"/>
  <c r="K20" i="9"/>
  <c r="J20" i="9"/>
  <c r="I20" i="9"/>
  <c r="H20" i="9"/>
  <c r="G20" i="9"/>
  <c r="F20" i="9"/>
  <c r="E20" i="9"/>
  <c r="D20" i="9"/>
  <c r="C20" i="9"/>
  <c r="M17" i="9"/>
  <c r="L17" i="9"/>
  <c r="K17" i="9"/>
  <c r="J17" i="9"/>
  <c r="I17" i="9"/>
  <c r="H17" i="9"/>
  <c r="G17" i="9"/>
  <c r="F17" i="9"/>
  <c r="E17" i="9"/>
  <c r="D17" i="9"/>
  <c r="C17" i="9"/>
  <c r="M15" i="9"/>
  <c r="L15" i="9"/>
  <c r="K15" i="9"/>
  <c r="J15" i="9"/>
  <c r="I15" i="9"/>
  <c r="H15" i="9"/>
  <c r="G15" i="9"/>
  <c r="F15" i="9"/>
  <c r="C15" i="9"/>
  <c r="M14" i="9"/>
  <c r="L14" i="9"/>
  <c r="K14" i="9"/>
  <c r="J14" i="9"/>
  <c r="I14" i="9"/>
  <c r="H14" i="9"/>
  <c r="G14" i="9"/>
  <c r="F14" i="9"/>
  <c r="C14" i="9"/>
  <c r="M10" i="9"/>
  <c r="L10" i="9"/>
  <c r="K10" i="9"/>
  <c r="J10" i="9"/>
  <c r="I10" i="9"/>
  <c r="H10" i="9"/>
  <c r="G10" i="9"/>
  <c r="F10" i="9"/>
  <c r="E10" i="9"/>
  <c r="D10" i="9"/>
  <c r="C10" i="9"/>
  <c r="M9" i="9"/>
  <c r="L9" i="9"/>
  <c r="K9" i="9"/>
  <c r="J9" i="9"/>
  <c r="I9" i="9"/>
  <c r="H9" i="9"/>
  <c r="G9" i="9"/>
  <c r="F9" i="9"/>
  <c r="E9" i="9"/>
  <c r="D9" i="9"/>
  <c r="C9" i="9"/>
  <c r="M8" i="9"/>
  <c r="L8" i="9"/>
  <c r="K8" i="9"/>
  <c r="J8" i="9"/>
  <c r="I8" i="9"/>
  <c r="H8" i="9"/>
  <c r="G8" i="9"/>
  <c r="F8" i="9"/>
  <c r="E8" i="9"/>
  <c r="D8" i="9"/>
  <c r="C8" i="9"/>
  <c r="M47" i="8"/>
  <c r="L47" i="8"/>
  <c r="K47" i="8"/>
  <c r="J47" i="8"/>
  <c r="I47" i="8"/>
  <c r="H47" i="8"/>
  <c r="G47" i="8"/>
  <c r="F47" i="8"/>
  <c r="E47" i="8"/>
  <c r="D47" i="8"/>
  <c r="C47" i="8"/>
  <c r="M41" i="8"/>
  <c r="L41" i="8"/>
  <c r="K41" i="8"/>
  <c r="J41" i="8"/>
  <c r="I41" i="8"/>
  <c r="H41" i="8"/>
  <c r="G41" i="8"/>
  <c r="F41" i="8"/>
  <c r="E41" i="8"/>
  <c r="D41" i="8"/>
  <c r="C41" i="8"/>
  <c r="M40" i="8"/>
  <c r="L40" i="8"/>
  <c r="L46" i="8" s="1"/>
  <c r="K40" i="8"/>
  <c r="J40" i="8"/>
  <c r="J46" i="8" s="1"/>
  <c r="I40" i="8"/>
  <c r="H40" i="8"/>
  <c r="H46" i="8" s="1"/>
  <c r="G40" i="8"/>
  <c r="F40" i="8"/>
  <c r="F46" i="8" s="1"/>
  <c r="E40" i="8"/>
  <c r="D40" i="8"/>
  <c r="D46" i="8" s="1"/>
  <c r="C40" i="8"/>
  <c r="M33" i="8"/>
  <c r="L33" i="8"/>
  <c r="K33" i="8"/>
  <c r="J33" i="8"/>
  <c r="I33" i="8"/>
  <c r="H33" i="8"/>
  <c r="G33" i="8"/>
  <c r="F33" i="8"/>
  <c r="E33" i="8"/>
  <c r="D33" i="8"/>
  <c r="C33" i="8"/>
  <c r="M32" i="8"/>
  <c r="L32" i="8"/>
  <c r="K32" i="8"/>
  <c r="J32" i="8"/>
  <c r="I32" i="8"/>
  <c r="H32" i="8"/>
  <c r="G32" i="8"/>
  <c r="F32" i="8"/>
  <c r="E32" i="8"/>
  <c r="D32" i="8"/>
  <c r="C32" i="8"/>
  <c r="M30" i="8"/>
  <c r="L30" i="8"/>
  <c r="K30" i="8"/>
  <c r="J30" i="8"/>
  <c r="I30" i="8"/>
  <c r="H30" i="8"/>
  <c r="G30" i="8"/>
  <c r="F30" i="8"/>
  <c r="E30" i="8"/>
  <c r="D30" i="8"/>
  <c r="C30" i="8"/>
  <c r="M24" i="8"/>
  <c r="L24" i="8"/>
  <c r="K24" i="8"/>
  <c r="J24" i="8"/>
  <c r="I24" i="8"/>
  <c r="H24" i="8"/>
  <c r="G24" i="8"/>
  <c r="F24" i="8"/>
  <c r="E24" i="8"/>
  <c r="D24" i="8"/>
  <c r="C24" i="8"/>
  <c r="M23" i="8"/>
  <c r="L23" i="8"/>
  <c r="K23" i="8"/>
  <c r="J23" i="8"/>
  <c r="I23" i="8"/>
  <c r="H23" i="8"/>
  <c r="G23" i="8"/>
  <c r="F23" i="8"/>
  <c r="E23" i="8"/>
  <c r="D23" i="8"/>
  <c r="C23" i="8"/>
  <c r="L18" i="8"/>
  <c r="J18" i="8"/>
  <c r="H18" i="8"/>
  <c r="F18" i="8"/>
  <c r="D18" i="8"/>
  <c r="C18" i="8"/>
  <c r="M15" i="8"/>
  <c r="L15" i="8"/>
  <c r="K15" i="8"/>
  <c r="J15" i="8"/>
  <c r="I15" i="8"/>
  <c r="H15" i="8"/>
  <c r="G15" i="8"/>
  <c r="F15" i="8"/>
  <c r="E15" i="8"/>
  <c r="D15" i="8"/>
  <c r="C15" i="8"/>
  <c r="M14" i="8"/>
  <c r="L14" i="8"/>
  <c r="K14" i="8"/>
  <c r="J14" i="8"/>
  <c r="I14" i="8"/>
  <c r="H14" i="8"/>
  <c r="G14" i="8"/>
  <c r="F14" i="8"/>
  <c r="E14" i="8"/>
  <c r="D14" i="8"/>
  <c r="C14" i="8"/>
  <c r="M13" i="8"/>
  <c r="L13" i="8"/>
  <c r="K13" i="8"/>
  <c r="J13" i="8"/>
  <c r="I13" i="8"/>
  <c r="H13" i="8"/>
  <c r="G13" i="8"/>
  <c r="F13" i="8"/>
  <c r="E13" i="8"/>
  <c r="D13" i="8"/>
  <c r="C13" i="8"/>
  <c r="M12" i="8"/>
  <c r="L12" i="8"/>
  <c r="K12" i="8"/>
  <c r="J12" i="8"/>
  <c r="I12" i="8"/>
  <c r="H12" i="8"/>
  <c r="G12" i="8"/>
  <c r="F12" i="8"/>
  <c r="E12" i="8"/>
  <c r="D12" i="8"/>
  <c r="C12" i="8"/>
  <c r="M11" i="8"/>
  <c r="L11" i="8"/>
  <c r="K11" i="8"/>
  <c r="J11" i="8"/>
  <c r="I11" i="8"/>
  <c r="H11" i="8"/>
  <c r="G11" i="8"/>
  <c r="F11" i="8"/>
  <c r="E11" i="8"/>
  <c r="D11" i="8"/>
  <c r="C11" i="8"/>
  <c r="M10" i="8"/>
  <c r="L10" i="8"/>
  <c r="K10" i="8"/>
  <c r="J10" i="8"/>
  <c r="I10" i="8"/>
  <c r="H10" i="8"/>
  <c r="G10" i="8"/>
  <c r="F10" i="8"/>
  <c r="E10" i="8"/>
  <c r="D10" i="8"/>
  <c r="C10" i="8"/>
  <c r="M9" i="8"/>
  <c r="L9" i="8"/>
  <c r="K9" i="8"/>
  <c r="J9" i="8"/>
  <c r="I9" i="8"/>
  <c r="H9" i="8"/>
  <c r="G9" i="8"/>
  <c r="F9" i="8"/>
  <c r="E9" i="8"/>
  <c r="D9" i="8"/>
  <c r="C9" i="8"/>
  <c r="M8" i="8"/>
  <c r="L8" i="8"/>
  <c r="K8" i="8"/>
  <c r="J8" i="8"/>
  <c r="I8" i="8"/>
  <c r="H8" i="8"/>
  <c r="G8" i="8"/>
  <c r="F8" i="8"/>
  <c r="E8" i="8"/>
  <c r="D8" i="8"/>
  <c r="C8" i="8"/>
  <c r="M7" i="8"/>
  <c r="L7" i="8"/>
  <c r="K7" i="8"/>
  <c r="J7" i="8"/>
  <c r="I7" i="8"/>
  <c r="H7" i="8"/>
  <c r="G7" i="8"/>
  <c r="F7" i="8"/>
  <c r="E7" i="8"/>
  <c r="D7" i="8"/>
  <c r="C7" i="8"/>
  <c r="M3" i="8"/>
  <c r="L3" i="10" s="1"/>
  <c r="L12" i="10" s="1"/>
  <c r="L3" i="8"/>
  <c r="K3" i="10" s="1"/>
  <c r="K12" i="10" s="1"/>
  <c r="K3" i="8"/>
  <c r="J3" i="10" s="1"/>
  <c r="J12" i="10" s="1"/>
  <c r="J3" i="8"/>
  <c r="I3" i="10" s="1"/>
  <c r="I12" i="10" s="1"/>
  <c r="I3" i="8"/>
  <c r="H3" i="10" s="1"/>
  <c r="H12" i="10" s="1"/>
  <c r="H3" i="8"/>
  <c r="G3" i="10" s="1"/>
  <c r="G12" i="10" s="1"/>
  <c r="G3" i="8"/>
  <c r="F3" i="10" s="1"/>
  <c r="F12" i="10" s="1"/>
  <c r="F3" i="8"/>
  <c r="E3" i="10" s="1"/>
  <c r="E12" i="10" s="1"/>
  <c r="E3" i="8"/>
  <c r="D3" i="10" s="1"/>
  <c r="D12" i="10" s="1"/>
  <c r="D3" i="8"/>
  <c r="C3" i="10" s="1"/>
  <c r="C12" i="10" s="1"/>
  <c r="C3" i="8"/>
  <c r="B3" i="10" s="1"/>
  <c r="B12" i="10" s="1"/>
  <c r="B2" i="8"/>
  <c r="C168" i="2"/>
  <c r="M157" i="2"/>
  <c r="L157" i="2"/>
  <c r="K157" i="2"/>
  <c r="J157" i="2"/>
  <c r="I157" i="2"/>
  <c r="H157" i="2"/>
  <c r="G157" i="2"/>
  <c r="F157" i="2"/>
  <c r="E157" i="2"/>
  <c r="D157" i="2"/>
  <c r="C157" i="2"/>
  <c r="M154" i="2"/>
  <c r="L154" i="2"/>
  <c r="K154" i="2"/>
  <c r="J154" i="2"/>
  <c r="I154" i="2"/>
  <c r="H154" i="2"/>
  <c r="G154" i="2"/>
  <c r="F154" i="2"/>
  <c r="E154" i="2"/>
  <c r="D154" i="2"/>
  <c r="C154" i="2"/>
  <c r="M89" i="2"/>
  <c r="L5" i="10" s="1"/>
  <c r="L89" i="2"/>
  <c r="K5" i="10" s="1"/>
  <c r="K89" i="2"/>
  <c r="J5" i="10" s="1"/>
  <c r="J89" i="2"/>
  <c r="I5" i="10" s="1"/>
  <c r="I89" i="2"/>
  <c r="H5" i="10" s="1"/>
  <c r="H89" i="2"/>
  <c r="G5" i="10" s="1"/>
  <c r="G89" i="2"/>
  <c r="F5" i="10" s="1"/>
  <c r="F89" i="2"/>
  <c r="E5" i="10" s="1"/>
  <c r="D5" i="10"/>
  <c r="C5" i="10"/>
  <c r="C89" i="2"/>
  <c r="B5" i="10" s="1"/>
  <c r="M85" i="2"/>
  <c r="M25" i="9" s="1"/>
  <c r="M24" i="9" s="1"/>
  <c r="M33" i="9" s="1"/>
  <c r="L13" i="10" s="1"/>
  <c r="L85" i="2"/>
  <c r="L25" i="9" s="1"/>
  <c r="L24" i="9" s="1"/>
  <c r="L33" i="9" s="1"/>
  <c r="K13" i="10" s="1"/>
  <c r="K85" i="2"/>
  <c r="J85" i="2"/>
  <c r="I85" i="2"/>
  <c r="H85" i="2"/>
  <c r="G85" i="2"/>
  <c r="F85" i="2"/>
  <c r="E85" i="2"/>
  <c r="D85" i="2"/>
  <c r="C85" i="2"/>
  <c r="C25" i="9" s="1"/>
  <c r="C24" i="9" s="1"/>
  <c r="C33" i="9" s="1"/>
  <c r="M65" i="2"/>
  <c r="M27" i="8" s="1"/>
  <c r="L65" i="2"/>
  <c r="L27" i="8" s="1"/>
  <c r="K65" i="2"/>
  <c r="K27" i="8" s="1"/>
  <c r="J65" i="2"/>
  <c r="J27" i="8" s="1"/>
  <c r="I65" i="2"/>
  <c r="I27" i="8" s="1"/>
  <c r="H65" i="2"/>
  <c r="H27" i="8" s="1"/>
  <c r="G65" i="2"/>
  <c r="G27" i="8" s="1"/>
  <c r="F65" i="2"/>
  <c r="F27" i="8" s="1"/>
  <c r="E65" i="2"/>
  <c r="E27" i="8" s="1"/>
  <c r="D65" i="2"/>
  <c r="D27" i="8" s="1"/>
  <c r="C65" i="2"/>
  <c r="C27" i="8" s="1"/>
  <c r="M53" i="2"/>
  <c r="L53" i="2"/>
  <c r="L16" i="9" s="1"/>
  <c r="K53" i="2"/>
  <c r="J53" i="2"/>
  <c r="J16" i="9" s="1"/>
  <c r="I53" i="2"/>
  <c r="H53" i="2"/>
  <c r="H16" i="9" s="1"/>
  <c r="G53" i="2"/>
  <c r="F53" i="2"/>
  <c r="F16" i="9" s="1"/>
  <c r="E53" i="2"/>
  <c r="E50" i="2" s="1"/>
  <c r="D53" i="2"/>
  <c r="C53" i="2"/>
  <c r="L50" i="2"/>
  <c r="M31" i="2"/>
  <c r="M31" i="8" s="1"/>
  <c r="K31" i="2"/>
  <c r="K31" i="8" s="1"/>
  <c r="J31" i="2"/>
  <c r="I31" i="2"/>
  <c r="I31" i="8" s="1"/>
  <c r="H31" i="2"/>
  <c r="G31" i="2"/>
  <c r="G31" i="8" s="1"/>
  <c r="F31" i="2"/>
  <c r="E31" i="2"/>
  <c r="E31" i="8" s="1"/>
  <c r="D31" i="2"/>
  <c r="C31" i="2"/>
  <c r="C31" i="8" s="1"/>
  <c r="L31" i="2"/>
  <c r="M26" i="2"/>
  <c r="M19" i="8" s="1"/>
  <c r="L26" i="2"/>
  <c r="L19" i="8" s="1"/>
  <c r="K26" i="2"/>
  <c r="K19" i="8" s="1"/>
  <c r="J26" i="2"/>
  <c r="J19" i="8" s="1"/>
  <c r="I26" i="2"/>
  <c r="I19" i="8" s="1"/>
  <c r="H26" i="2"/>
  <c r="H19" i="8" s="1"/>
  <c r="G26" i="2"/>
  <c r="G19" i="8" s="1"/>
  <c r="F26" i="2"/>
  <c r="F19" i="8" s="1"/>
  <c r="E26" i="2"/>
  <c r="E19" i="8" s="1"/>
  <c r="D26" i="2"/>
  <c r="D19" i="8" s="1"/>
  <c r="C26" i="2"/>
  <c r="C19" i="8" s="1"/>
  <c r="D18" i="2"/>
  <c r="C18" i="2"/>
  <c r="C5" i="9" s="1"/>
  <c r="M6" i="2"/>
  <c r="M4" i="9" s="1"/>
  <c r="L6" i="2"/>
  <c r="L4" i="9" s="1"/>
  <c r="K6" i="2"/>
  <c r="K4" i="9" s="1"/>
  <c r="J6" i="2"/>
  <c r="J4" i="9" s="1"/>
  <c r="I6" i="2"/>
  <c r="I4" i="9" s="1"/>
  <c r="H6" i="2"/>
  <c r="H4" i="9" s="1"/>
  <c r="G6" i="2"/>
  <c r="G4" i="9" s="1"/>
  <c r="F6" i="2"/>
  <c r="F4" i="9" s="1"/>
  <c r="E6" i="2"/>
  <c r="E4" i="9" s="1"/>
  <c r="D6" i="2"/>
  <c r="D4" i="9" s="1"/>
  <c r="C6" i="2"/>
  <c r="C4" i="9" s="1"/>
  <c r="A2" i="2"/>
  <c r="Q39" i="6"/>
  <c r="P39" i="6"/>
  <c r="O39" i="6"/>
  <c r="N39" i="6"/>
  <c r="I39" i="6"/>
  <c r="H39" i="6"/>
  <c r="G39" i="6"/>
  <c r="F39" i="6"/>
  <c r="Q38" i="6"/>
  <c r="P38" i="6"/>
  <c r="O38" i="6"/>
  <c r="N38" i="6"/>
  <c r="I38" i="6"/>
  <c r="H38" i="6"/>
  <c r="G38" i="6"/>
  <c r="F38" i="6"/>
  <c r="Q37" i="6"/>
  <c r="P37" i="6"/>
  <c r="O37" i="6"/>
  <c r="N37" i="6"/>
  <c r="I37" i="6"/>
  <c r="H37" i="6"/>
  <c r="G37" i="6"/>
  <c r="F37" i="6"/>
  <c r="Q36" i="6"/>
  <c r="P36" i="6"/>
  <c r="O36" i="6"/>
  <c r="N36" i="6"/>
  <c r="I36" i="6"/>
  <c r="H36" i="6"/>
  <c r="G36" i="6"/>
  <c r="F36" i="6"/>
  <c r="Q35" i="6"/>
  <c r="P35" i="6"/>
  <c r="O35" i="6"/>
  <c r="N35" i="6"/>
  <c r="I35" i="6"/>
  <c r="H35" i="6"/>
  <c r="G35" i="6"/>
  <c r="F35" i="6"/>
  <c r="Q34" i="6"/>
  <c r="P34" i="6"/>
  <c r="O34" i="6"/>
  <c r="N34" i="6"/>
  <c r="I34" i="6"/>
  <c r="H34" i="6"/>
  <c r="G34" i="6"/>
  <c r="F34" i="6"/>
  <c r="Q33" i="6"/>
  <c r="P33" i="6"/>
  <c r="O33" i="6"/>
  <c r="N33" i="6"/>
  <c r="I33" i="6"/>
  <c r="H33" i="6"/>
  <c r="G33" i="6"/>
  <c r="F33" i="6"/>
  <c r="Q32" i="6"/>
  <c r="P32" i="6"/>
  <c r="O32" i="6"/>
  <c r="N32" i="6"/>
  <c r="I32" i="6"/>
  <c r="H32" i="6"/>
  <c r="G32" i="6"/>
  <c r="F32" i="6"/>
  <c r="Q31" i="6"/>
  <c r="P31" i="6"/>
  <c r="O31" i="6"/>
  <c r="N31" i="6"/>
  <c r="I31" i="6"/>
  <c r="H31" i="6"/>
  <c r="G31" i="6"/>
  <c r="F31" i="6"/>
  <c r="Q30" i="6"/>
  <c r="P30" i="6"/>
  <c r="O30" i="6"/>
  <c r="N30" i="6"/>
  <c r="I30" i="6"/>
  <c r="H30" i="6"/>
  <c r="G30" i="6"/>
  <c r="F30" i="6"/>
  <c r="Q29" i="6"/>
  <c r="P29" i="6"/>
  <c r="O29" i="6"/>
  <c r="N29" i="6"/>
  <c r="I29" i="6"/>
  <c r="H29" i="6"/>
  <c r="G29" i="6"/>
  <c r="F29" i="6"/>
  <c r="Q28" i="6"/>
  <c r="P28" i="6"/>
  <c r="O28" i="6"/>
  <c r="N28" i="6"/>
  <c r="I28" i="6"/>
  <c r="H28" i="6"/>
  <c r="G28" i="6"/>
  <c r="F28" i="6"/>
  <c r="Q27" i="6"/>
  <c r="P27" i="6"/>
  <c r="O27" i="6"/>
  <c r="N27" i="6"/>
  <c r="I27" i="6"/>
  <c r="H27" i="6"/>
  <c r="G27" i="6"/>
  <c r="F27" i="6"/>
  <c r="Q26" i="6"/>
  <c r="P26" i="6"/>
  <c r="O26" i="6"/>
  <c r="N26" i="6"/>
  <c r="I26" i="6"/>
  <c r="H26" i="6"/>
  <c r="G26" i="6"/>
  <c r="F26" i="6"/>
  <c r="Q25" i="6"/>
  <c r="P25" i="6"/>
  <c r="O25" i="6"/>
  <c r="N25" i="6"/>
  <c r="I25" i="6"/>
  <c r="H25" i="6"/>
  <c r="G25" i="6"/>
  <c r="F25" i="6"/>
  <c r="Q24" i="6"/>
  <c r="P24" i="6"/>
  <c r="O24" i="6"/>
  <c r="N24" i="6"/>
  <c r="I24" i="6"/>
  <c r="H24" i="6"/>
  <c r="G24" i="6"/>
  <c r="F24" i="6"/>
  <c r="Q23" i="6"/>
  <c r="P23" i="6"/>
  <c r="O23" i="6"/>
  <c r="N23" i="6"/>
  <c r="I23" i="6"/>
  <c r="H23" i="6"/>
  <c r="G23" i="6"/>
  <c r="F23" i="6"/>
  <c r="Q22" i="6"/>
  <c r="P22" i="6"/>
  <c r="O22" i="6"/>
  <c r="N22" i="6"/>
  <c r="I22" i="6"/>
  <c r="H22" i="6"/>
  <c r="G22" i="6"/>
  <c r="F22" i="6"/>
  <c r="Q21" i="6"/>
  <c r="P21" i="6"/>
  <c r="O21" i="6"/>
  <c r="N21" i="6"/>
  <c r="I21" i="6"/>
  <c r="H21" i="6"/>
  <c r="G21" i="6"/>
  <c r="F21" i="6"/>
  <c r="Q20" i="6"/>
  <c r="P20" i="6"/>
  <c r="O20" i="6"/>
  <c r="N20" i="6"/>
  <c r="I20" i="6"/>
  <c r="H20" i="6"/>
  <c r="G20" i="6"/>
  <c r="F20" i="6"/>
  <c r="Q19" i="6"/>
  <c r="P19" i="6"/>
  <c r="O19" i="6"/>
  <c r="N19" i="6"/>
  <c r="I19" i="6"/>
  <c r="H19" i="6"/>
  <c r="G19" i="6"/>
  <c r="F19" i="6"/>
  <c r="Q18" i="6"/>
  <c r="P18" i="6"/>
  <c r="O18" i="6"/>
  <c r="N18" i="6"/>
  <c r="I18" i="6"/>
  <c r="H18" i="6"/>
  <c r="G18" i="6"/>
  <c r="F18" i="6"/>
  <c r="Q17" i="6"/>
  <c r="P17" i="6"/>
  <c r="O17" i="6"/>
  <c r="N17" i="6"/>
  <c r="I17" i="6"/>
  <c r="H17" i="6"/>
  <c r="G17" i="6"/>
  <c r="F17" i="6"/>
  <c r="Q16" i="6"/>
  <c r="P16" i="6"/>
  <c r="O16" i="6"/>
  <c r="N16" i="6"/>
  <c r="I16" i="6"/>
  <c r="H16" i="6"/>
  <c r="G16" i="6"/>
  <c r="F16" i="6"/>
  <c r="Q15" i="6"/>
  <c r="P15" i="6"/>
  <c r="O15" i="6"/>
  <c r="N15" i="6"/>
  <c r="I15" i="6"/>
  <c r="H15" i="6"/>
  <c r="G15" i="6"/>
  <c r="F15" i="6"/>
  <c r="Q14" i="6"/>
  <c r="P14" i="6"/>
  <c r="O14" i="6"/>
  <c r="N14" i="6"/>
  <c r="I14" i="6"/>
  <c r="H14" i="6"/>
  <c r="G14" i="6"/>
  <c r="F14" i="6"/>
  <c r="Q13" i="6"/>
  <c r="P13" i="6"/>
  <c r="O13" i="6"/>
  <c r="N13" i="6"/>
  <c r="I13" i="6"/>
  <c r="H13" i="6"/>
  <c r="G13" i="6"/>
  <c r="F13" i="6"/>
  <c r="Q12" i="6"/>
  <c r="P12" i="6"/>
  <c r="O12" i="6"/>
  <c r="N12" i="6"/>
  <c r="I12" i="6"/>
  <c r="H12" i="6"/>
  <c r="G12" i="6"/>
  <c r="F12" i="6"/>
  <c r="Q11" i="6"/>
  <c r="P11" i="6"/>
  <c r="O11" i="6"/>
  <c r="N11" i="6"/>
  <c r="I11" i="6"/>
  <c r="H11" i="6"/>
  <c r="G11" i="6"/>
  <c r="F11" i="6"/>
  <c r="Q10" i="6"/>
  <c r="P10" i="6"/>
  <c r="O10" i="6"/>
  <c r="N10" i="6"/>
  <c r="I10" i="6"/>
  <c r="H10" i="6"/>
  <c r="G10" i="6"/>
  <c r="F10" i="6"/>
  <c r="Q9" i="6"/>
  <c r="P9" i="6"/>
  <c r="O9" i="6"/>
  <c r="N9" i="6"/>
  <c r="I9" i="6"/>
  <c r="H9" i="6"/>
  <c r="G9" i="6"/>
  <c r="F9" i="6"/>
  <c r="Q8" i="6"/>
  <c r="P8" i="6"/>
  <c r="O8" i="6"/>
  <c r="N8" i="6"/>
  <c r="I8" i="6"/>
  <c r="H8" i="6"/>
  <c r="G8" i="6"/>
  <c r="F8" i="6"/>
  <c r="Q7" i="6"/>
  <c r="P7" i="6"/>
  <c r="O7" i="6"/>
  <c r="N7" i="6"/>
  <c r="I7" i="6"/>
  <c r="H7" i="6"/>
  <c r="G7" i="6"/>
  <c r="F7" i="6"/>
  <c r="Q6" i="6"/>
  <c r="P6" i="6"/>
  <c r="O6" i="6"/>
  <c r="N6" i="6"/>
  <c r="I6" i="6"/>
  <c r="H6" i="6"/>
  <c r="G6" i="6"/>
  <c r="F6" i="6"/>
  <c r="A3" i="6"/>
  <c r="E49" i="2" l="1"/>
  <c r="D178" i="2"/>
  <c r="D179" i="2" s="1"/>
  <c r="D50" i="2"/>
  <c r="D49" i="2" s="1"/>
  <c r="L69" i="2"/>
  <c r="L36" i="8" s="1"/>
  <c r="L117" i="2"/>
  <c r="D25" i="9"/>
  <c r="D24" i="9" s="1"/>
  <c r="D33" i="9" s="1"/>
  <c r="C13" i="10" s="1"/>
  <c r="F25" i="9"/>
  <c r="F24" i="9" s="1"/>
  <c r="F33" i="9" s="1"/>
  <c r="E13" i="10" s="1"/>
  <c r="H25" i="9"/>
  <c r="H24" i="9" s="1"/>
  <c r="H33" i="9" s="1"/>
  <c r="G13" i="10" s="1"/>
  <c r="J25" i="9"/>
  <c r="J24" i="9" s="1"/>
  <c r="J33" i="9" s="1"/>
  <c r="I13" i="10" s="1"/>
  <c r="F17" i="8"/>
  <c r="J17" i="8"/>
  <c r="E25" i="9"/>
  <c r="E24" i="9" s="1"/>
  <c r="E33" i="9" s="1"/>
  <c r="D13" i="10" s="1"/>
  <c r="G25" i="9"/>
  <c r="G24" i="9" s="1"/>
  <c r="G33" i="9" s="1"/>
  <c r="F13" i="10" s="1"/>
  <c r="I25" i="9"/>
  <c r="I24" i="9" s="1"/>
  <c r="I33" i="9" s="1"/>
  <c r="H13" i="10" s="1"/>
  <c r="K25" i="9"/>
  <c r="K24" i="9" s="1"/>
  <c r="K33" i="9" s="1"/>
  <c r="J13" i="10" s="1"/>
  <c r="D5" i="9"/>
  <c r="D3" i="9" s="1"/>
  <c r="D36" i="9" s="1"/>
  <c r="D38" i="9" s="1"/>
  <c r="C30" i="2"/>
  <c r="C21" i="2" s="1"/>
  <c r="C5" i="2" s="1"/>
  <c r="M69" i="2"/>
  <c r="M36" i="8" s="1"/>
  <c r="T8" i="6"/>
  <c r="T13" i="6"/>
  <c r="F19" i="2"/>
  <c r="E177" i="2"/>
  <c r="C29" i="8"/>
  <c r="E29" i="8"/>
  <c r="G29" i="8"/>
  <c r="I29" i="8"/>
  <c r="D17" i="8"/>
  <c r="H17" i="8"/>
  <c r="L17" i="8"/>
  <c r="K29" i="8"/>
  <c r="M29" i="8"/>
  <c r="E153" i="2"/>
  <c r="E152" i="2" s="1"/>
  <c r="I153" i="2"/>
  <c r="I152" i="2" s="1"/>
  <c r="M153" i="2"/>
  <c r="M152" i="2" s="1"/>
  <c r="F6" i="8"/>
  <c r="C17" i="8"/>
  <c r="D39" i="8"/>
  <c r="H39" i="8"/>
  <c r="L39" i="8"/>
  <c r="B13" i="10"/>
  <c r="C6" i="8"/>
  <c r="M116" i="2"/>
  <c r="C6" i="10"/>
  <c r="H50" i="2"/>
  <c r="H49" i="2" s="1"/>
  <c r="E30" i="2"/>
  <c r="E21" i="2" s="1"/>
  <c r="M30" i="2"/>
  <c r="M21" i="2" s="1"/>
  <c r="I30" i="2"/>
  <c r="I21" i="2" s="1"/>
  <c r="G30" i="2"/>
  <c r="G21" i="2" s="1"/>
  <c r="K30" i="2"/>
  <c r="E6" i="8"/>
  <c r="G6" i="8"/>
  <c r="I6" i="8"/>
  <c r="K6" i="8"/>
  <c r="M6" i="8"/>
  <c r="D6" i="8"/>
  <c r="H6" i="8"/>
  <c r="J6" i="8"/>
  <c r="L6" i="8"/>
  <c r="L39" i="6"/>
  <c r="J39" i="6"/>
  <c r="K6" i="6"/>
  <c r="K7" i="6"/>
  <c r="K8" i="6"/>
  <c r="K9" i="6"/>
  <c r="K10" i="6"/>
  <c r="K11" i="6"/>
  <c r="K12" i="6"/>
  <c r="K13" i="6"/>
  <c r="K14" i="6"/>
  <c r="K15" i="6"/>
  <c r="K16" i="6"/>
  <c r="L17" i="6"/>
  <c r="L18" i="6"/>
  <c r="L19" i="6"/>
  <c r="L20" i="6"/>
  <c r="L21" i="6"/>
  <c r="L22" i="6"/>
  <c r="L23" i="6"/>
  <c r="L24" i="6"/>
  <c r="J25" i="6"/>
  <c r="L25" i="6"/>
  <c r="J26" i="6"/>
  <c r="L26" i="6"/>
  <c r="J27" i="6"/>
  <c r="L27" i="6"/>
  <c r="J28" i="6"/>
  <c r="L28" i="6"/>
  <c r="J29" i="6"/>
  <c r="L29" i="6"/>
  <c r="J30" i="6"/>
  <c r="L30" i="6"/>
  <c r="J31" i="6"/>
  <c r="L31" i="6"/>
  <c r="J32" i="6"/>
  <c r="L32" i="6"/>
  <c r="J33" i="6"/>
  <c r="L33" i="6"/>
  <c r="J34" i="6"/>
  <c r="L34" i="6"/>
  <c r="J35" i="6"/>
  <c r="L35" i="6"/>
  <c r="J36" i="6"/>
  <c r="L36" i="6"/>
  <c r="J37" i="6"/>
  <c r="L37" i="6"/>
  <c r="J38" i="6"/>
  <c r="L38" i="6"/>
  <c r="F50" i="2"/>
  <c r="E6" i="10" s="1"/>
  <c r="J50" i="2"/>
  <c r="J49" i="2" s="1"/>
  <c r="D153" i="2"/>
  <c r="D152" i="2" s="1"/>
  <c r="F153" i="2"/>
  <c r="F152" i="2" s="1"/>
  <c r="H153" i="2"/>
  <c r="H152" i="2" s="1"/>
  <c r="J153" i="2"/>
  <c r="J152" i="2" s="1"/>
  <c r="L153" i="2"/>
  <c r="L152" i="2" s="1"/>
  <c r="C153" i="2"/>
  <c r="C152" i="2" s="1"/>
  <c r="G153" i="2"/>
  <c r="G152" i="2" s="1"/>
  <c r="K153" i="2"/>
  <c r="K152" i="2" s="1"/>
  <c r="F39" i="8"/>
  <c r="J39" i="8"/>
  <c r="N136" i="15"/>
  <c r="D31" i="8"/>
  <c r="D29" i="8" s="1"/>
  <c r="D30" i="2"/>
  <c r="D21" i="2" s="1"/>
  <c r="D5" i="2" s="1"/>
  <c r="H31" i="8"/>
  <c r="H29" i="8" s="1"/>
  <c r="H30" i="2"/>
  <c r="H21" i="2" s="1"/>
  <c r="L31" i="8"/>
  <c r="L29" i="8" s="1"/>
  <c r="L30" i="2"/>
  <c r="L21" i="2" s="1"/>
  <c r="C16" i="9"/>
  <c r="C50" i="2"/>
  <c r="G16" i="9"/>
  <c r="G13" i="9" s="1"/>
  <c r="G50" i="2"/>
  <c r="I16" i="9"/>
  <c r="I13" i="9" s="1"/>
  <c r="I50" i="2"/>
  <c r="K16" i="9"/>
  <c r="K13" i="9" s="1"/>
  <c r="K50" i="2"/>
  <c r="M16" i="9"/>
  <c r="M13" i="9" s="1"/>
  <c r="M50" i="2"/>
  <c r="Q126" i="15"/>
  <c r="Q128" i="15"/>
  <c r="Q130" i="15"/>
  <c r="Q132" i="15"/>
  <c r="J6" i="6"/>
  <c r="L6" i="6"/>
  <c r="R6" i="6"/>
  <c r="J7" i="6"/>
  <c r="L7" i="6"/>
  <c r="R7" i="6"/>
  <c r="J8" i="6"/>
  <c r="L8" i="6"/>
  <c r="R8" i="6"/>
  <c r="J9" i="6"/>
  <c r="L9" i="6"/>
  <c r="M9" i="6" s="1"/>
  <c r="R9" i="6"/>
  <c r="J10" i="6"/>
  <c r="L10" i="6"/>
  <c r="R10" i="6"/>
  <c r="J11" i="6"/>
  <c r="L11" i="6"/>
  <c r="M11" i="6" s="1"/>
  <c r="R11" i="6"/>
  <c r="J12" i="6"/>
  <c r="L12" i="6"/>
  <c r="R12" i="6"/>
  <c r="J13" i="6"/>
  <c r="L13" i="6"/>
  <c r="M13" i="6" s="1"/>
  <c r="R13" i="6"/>
  <c r="J14" i="6"/>
  <c r="L14" i="6"/>
  <c r="R14" i="6"/>
  <c r="J15" i="6"/>
  <c r="L15" i="6"/>
  <c r="M15" i="6" s="1"/>
  <c r="R15" i="6"/>
  <c r="J16" i="6"/>
  <c r="L16" i="6"/>
  <c r="R16" i="6"/>
  <c r="J17" i="6"/>
  <c r="K17" i="6"/>
  <c r="R17" i="6"/>
  <c r="J18" i="6"/>
  <c r="K18" i="6"/>
  <c r="R18" i="6"/>
  <c r="J19" i="6"/>
  <c r="K19" i="6"/>
  <c r="R19" i="6"/>
  <c r="J20" i="6"/>
  <c r="K20" i="6"/>
  <c r="R20" i="6"/>
  <c r="J21" i="6"/>
  <c r="K21" i="6"/>
  <c r="R21" i="6"/>
  <c r="J22" i="6"/>
  <c r="K22" i="6"/>
  <c r="R22" i="6"/>
  <c r="J23" i="6"/>
  <c r="K23" i="6"/>
  <c r="R23" i="6"/>
  <c r="J24" i="6"/>
  <c r="K24" i="6"/>
  <c r="R24" i="6"/>
  <c r="K25" i="6"/>
  <c r="R25" i="6"/>
  <c r="K26" i="6"/>
  <c r="R26" i="6"/>
  <c r="K27" i="6"/>
  <c r="R27" i="6"/>
  <c r="K28" i="6"/>
  <c r="M28" i="6" s="1"/>
  <c r="R28" i="6"/>
  <c r="K29" i="6"/>
  <c r="R29" i="6"/>
  <c r="K30" i="6"/>
  <c r="R30" i="6"/>
  <c r="K31" i="6"/>
  <c r="R31" i="6"/>
  <c r="K32" i="6"/>
  <c r="R32" i="6"/>
  <c r="K33" i="6"/>
  <c r="R33" i="6"/>
  <c r="K34" i="6"/>
  <c r="R34" i="6"/>
  <c r="K35" i="6"/>
  <c r="M35" i="6" s="1"/>
  <c r="R35" i="6"/>
  <c r="K36" i="6"/>
  <c r="R36" i="6"/>
  <c r="K37" i="6"/>
  <c r="M37" i="6" s="1"/>
  <c r="R37" i="6"/>
  <c r="K38" i="6"/>
  <c r="R38" i="6"/>
  <c r="K39" i="6"/>
  <c r="R39" i="6"/>
  <c r="E18" i="2"/>
  <c r="K21" i="2"/>
  <c r="F31" i="8"/>
  <c r="F29" i="8" s="1"/>
  <c r="F30" i="2"/>
  <c r="F21" i="2" s="1"/>
  <c r="J31" i="8"/>
  <c r="J29" i="8" s="1"/>
  <c r="J30" i="2"/>
  <c r="J21" i="2" s="1"/>
  <c r="G6" i="10"/>
  <c r="K6" i="10"/>
  <c r="L49" i="2"/>
  <c r="C35" i="8"/>
  <c r="C101" i="2"/>
  <c r="B7" i="10" s="1"/>
  <c r="C46" i="8"/>
  <c r="C39" i="8"/>
  <c r="E46" i="8"/>
  <c r="E39" i="8"/>
  <c r="G46" i="8"/>
  <c r="G39" i="8"/>
  <c r="I46" i="8"/>
  <c r="I39" i="8"/>
  <c r="K46" i="8"/>
  <c r="K39" i="8"/>
  <c r="M46" i="8"/>
  <c r="M39" i="8"/>
  <c r="Q125" i="15"/>
  <c r="Q127" i="15"/>
  <c r="Q129" i="15"/>
  <c r="Q131" i="15"/>
  <c r="E17" i="8"/>
  <c r="G17" i="8"/>
  <c r="I17" i="8"/>
  <c r="K17" i="8"/>
  <c r="M17" i="8"/>
  <c r="F13" i="9"/>
  <c r="H13" i="9"/>
  <c r="J13" i="9"/>
  <c r="L13" i="9"/>
  <c r="F25" i="8"/>
  <c r="F22" i="8" s="1"/>
  <c r="G25" i="8"/>
  <c r="G22" i="8" s="1"/>
  <c r="H25" i="8"/>
  <c r="H22" i="8" s="1"/>
  <c r="I25" i="8"/>
  <c r="I22" i="8" s="1"/>
  <c r="J25" i="8"/>
  <c r="J22" i="8" s="1"/>
  <c r="K25" i="8"/>
  <c r="K22" i="8" s="1"/>
  <c r="L25" i="8"/>
  <c r="L22" i="8" s="1"/>
  <c r="M25" i="8"/>
  <c r="M22" i="8" s="1"/>
  <c r="E25" i="8"/>
  <c r="E22" i="8" s="1"/>
  <c r="F26" i="8"/>
  <c r="G26" i="8"/>
  <c r="H26" i="8"/>
  <c r="I26" i="8"/>
  <c r="J26" i="8"/>
  <c r="K26" i="8"/>
  <c r="L26" i="8"/>
  <c r="M26" i="8"/>
  <c r="E26" i="8"/>
  <c r="D25" i="8"/>
  <c r="D22" i="8" s="1"/>
  <c r="D26" i="8"/>
  <c r="C26" i="8"/>
  <c r="C25" i="8"/>
  <c r="C22" i="8" s="1"/>
  <c r="E36" i="8"/>
  <c r="F36" i="8"/>
  <c r="G36" i="8"/>
  <c r="H36" i="8"/>
  <c r="I36" i="8"/>
  <c r="J36" i="8"/>
  <c r="K36" i="8"/>
  <c r="D36" i="8"/>
  <c r="C36" i="8"/>
  <c r="D16" i="8"/>
  <c r="C7" i="9"/>
  <c r="C3" i="9" s="1"/>
  <c r="C16" i="8"/>
  <c r="C45" i="8"/>
  <c r="D45" i="8"/>
  <c r="E45" i="8"/>
  <c r="F45" i="8"/>
  <c r="G45" i="8"/>
  <c r="H45" i="8"/>
  <c r="I45" i="8"/>
  <c r="J45" i="8"/>
  <c r="K45" i="8"/>
  <c r="L45" i="8"/>
  <c r="M45" i="8"/>
  <c r="C49" i="8"/>
  <c r="D49" i="8"/>
  <c r="E49" i="8"/>
  <c r="F49" i="8"/>
  <c r="G49" i="8"/>
  <c r="H49" i="8"/>
  <c r="I49" i="8"/>
  <c r="J49" i="8"/>
  <c r="K49" i="8"/>
  <c r="L49" i="8"/>
  <c r="M49" i="8"/>
  <c r="M7" i="6"/>
  <c r="L188" i="2" l="1"/>
  <c r="L116" i="2"/>
  <c r="E5" i="2"/>
  <c r="E4" i="2" s="1"/>
  <c r="E5" i="9"/>
  <c r="E3" i="9" s="1"/>
  <c r="E21" i="9" s="1"/>
  <c r="E35" i="9" s="1"/>
  <c r="E37" i="9" s="1"/>
  <c r="C161" i="2"/>
  <c r="C162" i="2" s="1"/>
  <c r="M36" i="6"/>
  <c r="M39" i="6"/>
  <c r="M20" i="6"/>
  <c r="M38" i="6"/>
  <c r="M34" i="6"/>
  <c r="M33" i="6"/>
  <c r="M30" i="6"/>
  <c r="M32" i="6"/>
  <c r="M31" i="6"/>
  <c r="M29" i="6"/>
  <c r="M27" i="6"/>
  <c r="M26" i="6"/>
  <c r="M25" i="6"/>
  <c r="M24" i="6"/>
  <c r="M22" i="6"/>
  <c r="M18" i="6"/>
  <c r="G19" i="2"/>
  <c r="F177" i="2"/>
  <c r="F18" i="2"/>
  <c r="C5" i="8"/>
  <c r="C4" i="8" s="1"/>
  <c r="C50" i="8" s="1"/>
  <c r="D88" i="2"/>
  <c r="D5" i="8"/>
  <c r="D4" i="8" s="1"/>
  <c r="D50" i="8" s="1"/>
  <c r="C150" i="2"/>
  <c r="C21" i="9"/>
  <c r="C35" i="9" s="1"/>
  <c r="C37" i="9" s="1"/>
  <c r="F49" i="2"/>
  <c r="C34" i="8"/>
  <c r="E16" i="8"/>
  <c r="E5" i="8" s="1"/>
  <c r="C21" i="8"/>
  <c r="C36" i="9"/>
  <c r="C38" i="9" s="1"/>
  <c r="I6" i="10"/>
  <c r="M21" i="8"/>
  <c r="K21" i="8"/>
  <c r="I21" i="8"/>
  <c r="G21" i="8"/>
  <c r="M23" i="6"/>
  <c r="M21" i="6"/>
  <c r="M19" i="6"/>
  <c r="M17" i="6"/>
  <c r="M16" i="6"/>
  <c r="M14" i="6"/>
  <c r="M12" i="6"/>
  <c r="M10" i="6"/>
  <c r="M8" i="6"/>
  <c r="M6" i="6"/>
  <c r="D21" i="9"/>
  <c r="D35" i="9" s="1"/>
  <c r="D37" i="9" s="1"/>
  <c r="D21" i="8"/>
  <c r="E21" i="8"/>
  <c r="L21" i="8"/>
  <c r="J21" i="8"/>
  <c r="H21" i="8"/>
  <c r="F21" i="8"/>
  <c r="L6" i="10"/>
  <c r="M49" i="2"/>
  <c r="J6" i="10"/>
  <c r="K49" i="2"/>
  <c r="H6" i="10"/>
  <c r="I49" i="2"/>
  <c r="F6" i="10"/>
  <c r="G49" i="2"/>
  <c r="D6" i="10"/>
  <c r="B6" i="10"/>
  <c r="C49" i="2"/>
  <c r="C4" i="10"/>
  <c r="D4" i="2"/>
  <c r="B4" i="10"/>
  <c r="C4" i="2"/>
  <c r="C28" i="8" l="1"/>
  <c r="C37" i="8" s="1"/>
  <c r="C42" i="8" s="1"/>
  <c r="C38" i="8" s="1"/>
  <c r="E36" i="9"/>
  <c r="E38" i="9" s="1"/>
  <c r="F5" i="9"/>
  <c r="F3" i="9" s="1"/>
  <c r="F21" i="9" s="1"/>
  <c r="F35" i="9" s="1"/>
  <c r="F37" i="9" s="1"/>
  <c r="F16" i="8"/>
  <c r="F5" i="8" s="1"/>
  <c r="G177" i="2"/>
  <c r="H19" i="2"/>
  <c r="G18" i="2"/>
  <c r="F5" i="2"/>
  <c r="C20" i="8"/>
  <c r="C51" i="8" s="1"/>
  <c r="C52" i="8" s="1"/>
  <c r="B8" i="10"/>
  <c r="B9" i="10" s="1"/>
  <c r="B10" i="10" s="1"/>
  <c r="C39" i="9" s="1"/>
  <c r="D4" i="10"/>
  <c r="E28" i="8"/>
  <c r="E4" i="8"/>
  <c r="E50" i="8" s="1"/>
  <c r="D28" i="8"/>
  <c r="D170" i="2"/>
  <c r="D164" i="2"/>
  <c r="C48" i="2"/>
  <c r="C151" i="2" s="1"/>
  <c r="C88" i="2"/>
  <c r="E170" i="2"/>
  <c r="E164" i="2"/>
  <c r="E88" i="2"/>
  <c r="F34" i="9"/>
  <c r="C170" i="2"/>
  <c r="C164" i="2"/>
  <c r="F36" i="9" l="1"/>
  <c r="F38" i="9" s="1"/>
  <c r="G5" i="9"/>
  <c r="G3" i="9" s="1"/>
  <c r="G21" i="9" s="1"/>
  <c r="G35" i="9" s="1"/>
  <c r="G37" i="9" s="1"/>
  <c r="G16" i="8"/>
  <c r="G5" i="8" s="1"/>
  <c r="G5" i="2"/>
  <c r="E4" i="10"/>
  <c r="F4" i="2"/>
  <c r="H177" i="2"/>
  <c r="H18" i="2"/>
  <c r="I19" i="2"/>
  <c r="F4" i="8"/>
  <c r="F50" i="8" s="1"/>
  <c r="F28" i="8"/>
  <c r="F88" i="2"/>
  <c r="C171" i="2"/>
  <c r="C172" i="2" s="1"/>
  <c r="C165" i="2"/>
  <c r="C166" i="2" s="1"/>
  <c r="G34" i="9"/>
  <c r="H174" i="2"/>
  <c r="H23" i="9" s="1"/>
  <c r="G36" i="9" l="1"/>
  <c r="G38" i="9" s="1"/>
  <c r="H5" i="2"/>
  <c r="H5" i="9"/>
  <c r="H3" i="9" s="1"/>
  <c r="H21" i="9" s="1"/>
  <c r="H35" i="9" s="1"/>
  <c r="H37" i="9" s="1"/>
  <c r="H16" i="8"/>
  <c r="H5" i="8" s="1"/>
  <c r="F170" i="2"/>
  <c r="F164" i="2"/>
  <c r="G88" i="2"/>
  <c r="G4" i="2"/>
  <c r="F4" i="10"/>
  <c r="I177" i="2"/>
  <c r="I18" i="2"/>
  <c r="J19" i="2"/>
  <c r="G28" i="8"/>
  <c r="G4" i="8"/>
  <c r="G50" i="8" s="1"/>
  <c r="H34" i="9"/>
  <c r="I174" i="2"/>
  <c r="I23" i="9" s="1"/>
  <c r="H36" i="9" l="1"/>
  <c r="H38" i="9" s="1"/>
  <c r="J177" i="2"/>
  <c r="J18" i="2"/>
  <c r="K19" i="2"/>
  <c r="I5" i="9"/>
  <c r="I3" i="9" s="1"/>
  <c r="I21" i="9" s="1"/>
  <c r="I35" i="9" s="1"/>
  <c r="I37" i="9" s="1"/>
  <c r="I16" i="8"/>
  <c r="I5" i="8" s="1"/>
  <c r="I5" i="2"/>
  <c r="G170" i="2"/>
  <c r="G164" i="2"/>
  <c r="H28" i="8"/>
  <c r="H4" i="8"/>
  <c r="H50" i="8" s="1"/>
  <c r="H4" i="2"/>
  <c r="G4" i="10"/>
  <c r="H88" i="2"/>
  <c r="I34" i="9"/>
  <c r="J174" i="2"/>
  <c r="J23" i="9" s="1"/>
  <c r="I36" i="9" l="1"/>
  <c r="I38" i="9" s="1"/>
  <c r="H164" i="2"/>
  <c r="H170" i="2"/>
  <c r="H4" i="10"/>
  <c r="I88" i="2"/>
  <c r="I4" i="2"/>
  <c r="J16" i="8"/>
  <c r="J5" i="8" s="1"/>
  <c r="J5" i="2"/>
  <c r="J4" i="2" s="1"/>
  <c r="J5" i="9"/>
  <c r="J3" i="9" s="1"/>
  <c r="J21" i="9" s="1"/>
  <c r="J35" i="9" s="1"/>
  <c r="J37" i="9" s="1"/>
  <c r="I28" i="8"/>
  <c r="I4" i="8"/>
  <c r="I50" i="8" s="1"/>
  <c r="K177" i="2"/>
  <c r="L19" i="2"/>
  <c r="K18" i="2"/>
  <c r="J34" i="9"/>
  <c r="K174" i="2"/>
  <c r="J36" i="9" l="1"/>
  <c r="J38" i="9" s="1"/>
  <c r="L177" i="2"/>
  <c r="M19" i="2"/>
  <c r="L18" i="2"/>
  <c r="J28" i="8"/>
  <c r="J4" i="8"/>
  <c r="J50" i="8" s="1"/>
  <c r="K16" i="8"/>
  <c r="K5" i="8" s="1"/>
  <c r="K5" i="2"/>
  <c r="K5" i="9"/>
  <c r="K3" i="9" s="1"/>
  <c r="K21" i="9" s="1"/>
  <c r="K35" i="9" s="1"/>
  <c r="K37" i="9" s="1"/>
  <c r="I4" i="10"/>
  <c r="J88" i="2"/>
  <c r="I164" i="2"/>
  <c r="I170" i="2"/>
  <c r="K23" i="9"/>
  <c r="K34" i="9" s="1"/>
  <c r="L174" i="2"/>
  <c r="K36" i="9" l="1"/>
  <c r="K38" i="9" s="1"/>
  <c r="K28" i="8"/>
  <c r="K4" i="8"/>
  <c r="K50" i="8" s="1"/>
  <c r="M18" i="2"/>
  <c r="M177" i="2"/>
  <c r="J170" i="2"/>
  <c r="J164" i="2"/>
  <c r="K4" i="2"/>
  <c r="J4" i="10"/>
  <c r="K88" i="2"/>
  <c r="L5" i="9"/>
  <c r="L3" i="9" s="1"/>
  <c r="L21" i="9" s="1"/>
  <c r="L35" i="9" s="1"/>
  <c r="L37" i="9" s="1"/>
  <c r="L16" i="8"/>
  <c r="L5" i="8" s="1"/>
  <c r="L5" i="2"/>
  <c r="L23" i="9"/>
  <c r="L34" i="9" s="1"/>
  <c r="M174" i="2"/>
  <c r="M23" i="9" s="1"/>
  <c r="M34" i="9" s="1"/>
  <c r="D127" i="2"/>
  <c r="L36" i="9" l="1"/>
  <c r="L38" i="9" s="1"/>
  <c r="L88" i="2"/>
  <c r="L4" i="2"/>
  <c r="K4" i="10"/>
  <c r="L4" i="8"/>
  <c r="L50" i="8" s="1"/>
  <c r="L28" i="8"/>
  <c r="K170" i="2"/>
  <c r="K164" i="2"/>
  <c r="M5" i="9"/>
  <c r="M3" i="9" s="1"/>
  <c r="M21" i="9" s="1"/>
  <c r="M35" i="9" s="1"/>
  <c r="M37" i="9" s="1"/>
  <c r="M16" i="8"/>
  <c r="M5" i="8" s="1"/>
  <c r="M5" i="2"/>
  <c r="D168" i="2"/>
  <c r="D102" i="2"/>
  <c r="D35" i="8" l="1"/>
  <c r="D34" i="8" s="1"/>
  <c r="D37" i="8" s="1"/>
  <c r="D42" i="8" s="1"/>
  <c r="D38" i="8" s="1"/>
  <c r="D101" i="2"/>
  <c r="D150" i="2" s="1"/>
  <c r="M4" i="2"/>
  <c r="L4" i="10"/>
  <c r="M88" i="2"/>
  <c r="M28" i="8"/>
  <c r="M4" i="8"/>
  <c r="M50" i="8" s="1"/>
  <c r="M36" i="9"/>
  <c r="M38" i="9" s="1"/>
  <c r="L170" i="2"/>
  <c r="L164" i="2"/>
  <c r="D20" i="8" l="1"/>
  <c r="D51" i="8" s="1"/>
  <c r="D52" i="8" s="1"/>
  <c r="C7" i="10"/>
  <c r="C8" i="10" s="1"/>
  <c r="C9" i="10" s="1"/>
  <c r="C10" i="10" s="1"/>
  <c r="D39" i="9" s="1"/>
  <c r="M170" i="2"/>
  <c r="M164" i="2"/>
  <c r="D161" i="2"/>
  <c r="D162" i="2" s="1"/>
  <c r="D48" i="2"/>
  <c r="D151" i="2" s="1"/>
  <c r="E144" i="2"/>
  <c r="E178" i="2" l="1"/>
  <c r="E179" i="2" s="1"/>
  <c r="E141" i="2"/>
  <c r="D165" i="2"/>
  <c r="D166" i="2" s="1"/>
  <c r="D171" i="2"/>
  <c r="D172" i="2" s="1"/>
  <c r="F144" i="2"/>
  <c r="F178" i="2" l="1"/>
  <c r="F179" i="2" s="1"/>
  <c r="F141" i="2"/>
  <c r="G144" i="2"/>
  <c r="G178" i="2" l="1"/>
  <c r="G179" i="2" s="1"/>
  <c r="G141" i="2"/>
  <c r="H144" i="2"/>
  <c r="H178" i="2" l="1"/>
  <c r="H179" i="2" s="1"/>
  <c r="H141" i="2"/>
  <c r="I144" i="2"/>
  <c r="I178" i="2" l="1"/>
  <c r="I179" i="2" s="1"/>
  <c r="I141" i="2"/>
  <c r="J144" i="2"/>
  <c r="J178" i="2" l="1"/>
  <c r="J179" i="2" s="1"/>
  <c r="J141" i="2"/>
  <c r="K144" i="2"/>
  <c r="K178" i="2" l="1"/>
  <c r="K179" i="2" s="1"/>
  <c r="K141" i="2"/>
  <c r="L144" i="2"/>
  <c r="L178" i="2" l="1"/>
  <c r="L179" i="2" s="1"/>
  <c r="L141" i="2"/>
  <c r="M144" i="2"/>
  <c r="M178" i="2" l="1"/>
  <c r="M179" i="2" s="1"/>
  <c r="M141" i="2"/>
  <c r="E127" i="2"/>
  <c r="E102" i="2" s="1"/>
  <c r="E101" i="2" s="1"/>
  <c r="E182" i="2"/>
  <c r="F182" i="2" l="1"/>
  <c r="F127" i="2"/>
  <c r="E35" i="8"/>
  <c r="E34" i="8" s="1"/>
  <c r="E168" i="2"/>
  <c r="E161" i="2" l="1"/>
  <c r="E162" i="2" s="1"/>
  <c r="D7" i="10"/>
  <c r="D8" i="10" s="1"/>
  <c r="D9" i="10" s="1"/>
  <c r="D10" i="10" s="1"/>
  <c r="E39" i="9" s="1"/>
  <c r="E48" i="2"/>
  <c r="E150" i="2"/>
  <c r="G182" i="2"/>
  <c r="G127" i="2"/>
  <c r="E37" i="8"/>
  <c r="E42" i="8" s="1"/>
  <c r="E38" i="8" s="1"/>
  <c r="E20" i="8"/>
  <c r="E51" i="8" s="1"/>
  <c r="E52" i="8" s="1"/>
  <c r="F168" i="2"/>
  <c r="F102" i="2"/>
  <c r="F101" i="2" s="1"/>
  <c r="F35" i="8" l="1"/>
  <c r="F34" i="8" s="1"/>
  <c r="H182" i="2"/>
  <c r="H127" i="2"/>
  <c r="G168" i="2"/>
  <c r="G102" i="2"/>
  <c r="G101" i="2" s="1"/>
  <c r="E165" i="2"/>
  <c r="E166" i="2" s="1"/>
  <c r="E151" i="2"/>
  <c r="E171" i="2"/>
  <c r="E172" i="2" s="1"/>
  <c r="G35" i="8" l="1"/>
  <c r="G34" i="8" s="1"/>
  <c r="I182" i="2"/>
  <c r="I127" i="2"/>
  <c r="H168" i="2"/>
  <c r="H102" i="2"/>
  <c r="H101" i="2" s="1"/>
  <c r="F150" i="2"/>
  <c r="E7" i="10"/>
  <c r="E8" i="10" s="1"/>
  <c r="E9" i="10" s="1"/>
  <c r="E10" i="10" s="1"/>
  <c r="F39" i="9" s="1"/>
  <c r="F48" i="2"/>
  <c r="F161" i="2"/>
  <c r="F162" i="2" s="1"/>
  <c r="F37" i="8"/>
  <c r="F42" i="8" s="1"/>
  <c r="F38" i="8" s="1"/>
  <c r="F20" i="8"/>
  <c r="F51" i="8" s="1"/>
  <c r="F52" i="8" s="1"/>
  <c r="H35" i="8" l="1"/>
  <c r="H34" i="8" s="1"/>
  <c r="J182" i="2"/>
  <c r="J127" i="2"/>
  <c r="F151" i="2"/>
  <c r="F171" i="2"/>
  <c r="F172" i="2" s="1"/>
  <c r="F165" i="2"/>
  <c r="F166" i="2" s="1"/>
  <c r="I168" i="2"/>
  <c r="I102" i="2"/>
  <c r="I101" i="2" s="1"/>
  <c r="G161" i="2"/>
  <c r="G162" i="2" s="1"/>
  <c r="F7" i="10"/>
  <c r="F8" i="10" s="1"/>
  <c r="F9" i="10" s="1"/>
  <c r="F10" i="10" s="1"/>
  <c r="G39" i="9" s="1"/>
  <c r="G150" i="2"/>
  <c r="G48" i="2"/>
  <c r="G37" i="8"/>
  <c r="G42" i="8" s="1"/>
  <c r="G38" i="8" s="1"/>
  <c r="G20" i="8"/>
  <c r="G51" i="8" s="1"/>
  <c r="G52" i="8" s="1"/>
  <c r="J168" i="2" l="1"/>
  <c r="J102" i="2"/>
  <c r="J101" i="2" s="1"/>
  <c r="G151" i="2"/>
  <c r="G165" i="2"/>
  <c r="G166" i="2" s="1"/>
  <c r="G171" i="2"/>
  <c r="G172" i="2" s="1"/>
  <c r="I35" i="8"/>
  <c r="I34" i="8" s="1"/>
  <c r="K182" i="2"/>
  <c r="K127" i="2"/>
  <c r="H150" i="2"/>
  <c r="H161" i="2"/>
  <c r="H162" i="2" s="1"/>
  <c r="G7" i="10"/>
  <c r="G8" i="10" s="1"/>
  <c r="G9" i="10" s="1"/>
  <c r="G10" i="10" s="1"/>
  <c r="H39" i="9" s="1"/>
  <c r="H48" i="2"/>
  <c r="H20" i="8"/>
  <c r="H51" i="8" s="1"/>
  <c r="H52" i="8" s="1"/>
  <c r="H37" i="8"/>
  <c r="H42" i="8" s="1"/>
  <c r="H38" i="8" s="1"/>
  <c r="I161" i="2" l="1"/>
  <c r="I162" i="2" s="1"/>
  <c r="I150" i="2"/>
  <c r="H7" i="10"/>
  <c r="H8" i="10" s="1"/>
  <c r="H9" i="10" s="1"/>
  <c r="H10" i="10" s="1"/>
  <c r="I39" i="9" s="1"/>
  <c r="I48" i="2"/>
  <c r="H165" i="2"/>
  <c r="H166" i="2" s="1"/>
  <c r="H171" i="2"/>
  <c r="H172" i="2" s="1"/>
  <c r="H151" i="2"/>
  <c r="L127" i="2"/>
  <c r="L182" i="2"/>
  <c r="I37" i="8"/>
  <c r="I42" i="8" s="1"/>
  <c r="I38" i="8" s="1"/>
  <c r="I20" i="8"/>
  <c r="I51" i="8" s="1"/>
  <c r="I52" i="8" s="1"/>
  <c r="J35" i="8"/>
  <c r="J34" i="8" s="1"/>
  <c r="K168" i="2"/>
  <c r="K102" i="2"/>
  <c r="K101" i="2" s="1"/>
  <c r="J20" i="8" l="1"/>
  <c r="J51" i="8" s="1"/>
  <c r="J52" i="8" s="1"/>
  <c r="J37" i="8"/>
  <c r="J42" i="8" s="1"/>
  <c r="J38" i="8" s="1"/>
  <c r="M182" i="2"/>
  <c r="M127" i="2"/>
  <c r="K35" i="8"/>
  <c r="K34" i="8" s="1"/>
  <c r="J150" i="2"/>
  <c r="J161" i="2"/>
  <c r="J162" i="2" s="1"/>
  <c r="J48" i="2"/>
  <c r="I7" i="10"/>
  <c r="I8" i="10" s="1"/>
  <c r="I9" i="10" s="1"/>
  <c r="I10" i="10" s="1"/>
  <c r="J39" i="9" s="1"/>
  <c r="L168" i="2"/>
  <c r="L102" i="2"/>
  <c r="L101" i="2" s="1"/>
  <c r="I151" i="2"/>
  <c r="I171" i="2"/>
  <c r="I172" i="2" s="1"/>
  <c r="I165" i="2"/>
  <c r="I166" i="2" s="1"/>
  <c r="J151" i="2" l="1"/>
  <c r="J165" i="2"/>
  <c r="J166" i="2" s="1"/>
  <c r="J171" i="2"/>
  <c r="J172" i="2" s="1"/>
  <c r="K20" i="8"/>
  <c r="K51" i="8" s="1"/>
  <c r="K52" i="8" s="1"/>
  <c r="K37" i="8"/>
  <c r="K42" i="8" s="1"/>
  <c r="K38" i="8" s="1"/>
  <c r="L35" i="8"/>
  <c r="L34" i="8" s="1"/>
  <c r="K150" i="2"/>
  <c r="J7" i="10"/>
  <c r="J8" i="10" s="1"/>
  <c r="J9" i="10" s="1"/>
  <c r="J10" i="10" s="1"/>
  <c r="K39" i="9" s="1"/>
  <c r="K161" i="2"/>
  <c r="K162" i="2" s="1"/>
  <c r="K48" i="2"/>
  <c r="M168" i="2"/>
  <c r="M102" i="2"/>
  <c r="M101" i="2" s="1"/>
  <c r="L150" i="2" l="1"/>
  <c r="L161" i="2"/>
  <c r="L162" i="2" s="1"/>
  <c r="K7" i="10"/>
  <c r="K8" i="10" s="1"/>
  <c r="K9" i="10" s="1"/>
  <c r="K10" i="10" s="1"/>
  <c r="L39" i="9" s="1"/>
  <c r="L48" i="2"/>
  <c r="L20" i="8"/>
  <c r="L51" i="8" s="1"/>
  <c r="L52" i="8" s="1"/>
  <c r="L37" i="8"/>
  <c r="L42" i="8" s="1"/>
  <c r="L38" i="8" s="1"/>
  <c r="M35" i="8"/>
  <c r="M34" i="8" s="1"/>
  <c r="K151" i="2"/>
  <c r="K165" i="2"/>
  <c r="K166" i="2" s="1"/>
  <c r="K171" i="2"/>
  <c r="K172" i="2" s="1"/>
  <c r="M48" i="2" l="1"/>
  <c r="M150" i="2"/>
  <c r="M161" i="2"/>
  <c r="M162" i="2" s="1"/>
  <c r="L7" i="10"/>
  <c r="L8" i="10" s="1"/>
  <c r="L9" i="10" s="1"/>
  <c r="L10" i="10" s="1"/>
  <c r="M39" i="9" s="1"/>
  <c r="M20" i="8"/>
  <c r="M51" i="8" s="1"/>
  <c r="M52" i="8" s="1"/>
  <c r="M37" i="8"/>
  <c r="M42" i="8" s="1"/>
  <c r="M38" i="8" s="1"/>
  <c r="L151" i="2"/>
  <c r="L171" i="2"/>
  <c r="L172" i="2" s="1"/>
  <c r="L165" i="2"/>
  <c r="L166" i="2" s="1"/>
  <c r="M171" i="2" l="1"/>
  <c r="M172" i="2" s="1"/>
  <c r="M151" i="2"/>
  <c r="M165" i="2"/>
  <c r="M166" i="2" s="1"/>
</calcChain>
</file>

<file path=xl/sharedStrings.xml><?xml version="1.0" encoding="utf-8"?>
<sst xmlns="http://schemas.openxmlformats.org/spreadsheetml/2006/main" count="1007" uniqueCount="594">
  <si>
    <t>Cuenta</t>
  </si>
  <si>
    <t>Inicial</t>
  </si>
  <si>
    <t>Definitivo</t>
  </si>
  <si>
    <t>Obligaciones</t>
  </si>
  <si>
    <t>Pagos</t>
  </si>
  <si>
    <t>C30</t>
  </si>
  <si>
    <t>C31</t>
  </si>
  <si>
    <t>C32</t>
  </si>
  <si>
    <t>C33</t>
  </si>
  <si>
    <t>C34</t>
  </si>
  <si>
    <t>C36</t>
  </si>
  <si>
    <t>C39</t>
  </si>
  <si>
    <t>C40</t>
  </si>
  <si>
    <t>C41</t>
  </si>
  <si>
    <t>C42</t>
  </si>
  <si>
    <t>C43</t>
  </si>
  <si>
    <t>C44</t>
  </si>
  <si>
    <t>C45</t>
  </si>
  <si>
    <t>C46</t>
  </si>
  <si>
    <t>C47</t>
  </si>
  <si>
    <t>C48</t>
  </si>
  <si>
    <t>ENTIDAD</t>
  </si>
  <si>
    <t>Periodo</t>
  </si>
  <si>
    <t>Ano</t>
  </si>
  <si>
    <t>Descripción</t>
  </si>
  <si>
    <t>BF_1</t>
  </si>
  <si>
    <t>INGRESOS TOTALES</t>
  </si>
  <si>
    <t>BF_1.1</t>
  </si>
  <si>
    <t>  INGRESOS CORRIENTES</t>
  </si>
  <si>
    <t>BF_1.1.1</t>
  </si>
  <si>
    <t>   TRIBUTARIOS</t>
  </si>
  <si>
    <t>BF_1.1.1.2</t>
  </si>
  <si>
    <t>        Impuesto Predial unificado (Municipios y Departamento de San Andrés)</t>
  </si>
  <si>
    <t>BF_1.1.1.3</t>
  </si>
  <si>
    <t>        Impuesto de Industria y Comercio (Municipios y Departamento de San Andrés)</t>
  </si>
  <si>
    <t>BF_1.1.1.4</t>
  </si>
  <si>
    <t>        Registro y Anotación</t>
  </si>
  <si>
    <t>BF_1.1.1.5</t>
  </si>
  <si>
    <t>        Licores</t>
  </si>
  <si>
    <t>BF_1.1.1.6</t>
  </si>
  <si>
    <t>        Cerveza (Departamentos y Bogotá)</t>
  </si>
  <si>
    <t>BF_1.1.1.7</t>
  </si>
  <si>
    <t>        Cigarrillos y Tabaco</t>
  </si>
  <si>
    <t>BF_1.1.1.8</t>
  </si>
  <si>
    <t>        Sobretasa Consumo Gasolina Motor</t>
  </si>
  <si>
    <t>BF_1.1.1.9</t>
  </si>
  <si>
    <t>        Estampillas</t>
  </si>
  <si>
    <t>BF_1.1.1.10</t>
  </si>
  <si>
    <t>        Impuesto de Transporte por oleoductos y gasoductos</t>
  </si>
  <si>
    <t>BF_1.1.1.12</t>
  </si>
  <si>
    <t xml:space="preserve">        Impuesto único a favor de San Andrés (San Andrés)</t>
  </si>
  <si>
    <t>BF_1.1.1.13</t>
  </si>
  <si>
    <t>        Otros Ingresos Tributarios</t>
  </si>
  <si>
    <t>BF_1.1.2</t>
  </si>
  <si>
    <t>   NO TRIBUTARIOS</t>
  </si>
  <si>
    <t>BF_1.1.2.1</t>
  </si>
  <si>
    <t>        Ingresos de la propiedad: Tasas, Derechos, Multas y Sanciones</t>
  </si>
  <si>
    <t>BF_1.1.2.2</t>
  </si>
  <si>
    <t>        Otros no tributarios</t>
  </si>
  <si>
    <t>BF_1.1.3</t>
  </si>
  <si>
    <t>   TRANSFERENCIAS</t>
  </si>
  <si>
    <t>BF_1.1.3.1</t>
  </si>
  <si>
    <t>     Transferencias para Funcionamiento</t>
  </si>
  <si>
    <t>BF_1.1.3.1.1</t>
  </si>
  <si>
    <t>        Del Nivel Nacional</t>
  </si>
  <si>
    <t>BF_1.1.3.1.1.1</t>
  </si>
  <si>
    <t>BF_1.1.3.1.1.2</t>
  </si>
  <si>
    <t>           Otras transferencias de la Nacion</t>
  </si>
  <si>
    <t>BF_1.1.3.1.2</t>
  </si>
  <si>
    <t>        Del Nivel Departamental</t>
  </si>
  <si>
    <t>BF_1.1.3.1.2.1</t>
  </si>
  <si>
    <t>           De Vehículos Automotores</t>
  </si>
  <si>
    <t>BF_1.1.3.1.2.2</t>
  </si>
  <si>
    <t>           Otras Transferencias del Departamento</t>
  </si>
  <si>
    <t>BF_1.1.3.1.3</t>
  </si>
  <si>
    <t>        Otras transferencias para funcionamiento</t>
  </si>
  <si>
    <t>BF_1.1.3.2</t>
  </si>
  <si>
    <t>     Transferencias para Inversión</t>
  </si>
  <si>
    <t>BF_1.1.3.2.1</t>
  </si>
  <si>
    <t>BF_1.1.3.2.1.1</t>
  </si>
  <si>
    <t>           Sistema General de Participaciones</t>
  </si>
  <si>
    <t>BF_1.1.3.2.1.1.1</t>
  </si>
  <si>
    <t>              Sistema General de Participaciones -Educación</t>
  </si>
  <si>
    <t>BF_1.1.3.2.1.1.2</t>
  </si>
  <si>
    <t>              Sistema General de Participaciones - Salud</t>
  </si>
  <si>
    <t>BF_1.1.3.2.1.1.3</t>
  </si>
  <si>
    <t>              Sistema General de Participaciones  - Agua Potable y Saneamiento Básico</t>
  </si>
  <si>
    <t>BF_1.1.3.2.1.1.4</t>
  </si>
  <si>
    <t>              Sistema General de Participaciones - Propósito General - Forzosa Inversión</t>
  </si>
  <si>
    <t>BF_1.1.3.2.1.1.5</t>
  </si>
  <si>
    <t>              Otras del Sistema General de Participaciones</t>
  </si>
  <si>
    <t>BF_1.1.3.2.1.2</t>
  </si>
  <si>
    <t>           FOSYGA y ETESA</t>
  </si>
  <si>
    <t>BF_1.1.3.2.1.4</t>
  </si>
  <si>
    <t>           Otras transferencias de la Nación</t>
  </si>
  <si>
    <t>BF_1.1.3.2.2</t>
  </si>
  <si>
    <t>     Del Nivel Departamental</t>
  </si>
  <si>
    <t>BF_1.1.3.2.3</t>
  </si>
  <si>
    <t>     Otras transferencias para inversión</t>
  </si>
  <si>
    <t>BF_2</t>
  </si>
  <si>
    <t>GASTOS  TOTALES</t>
  </si>
  <si>
    <t>BF_2.1</t>
  </si>
  <si>
    <t>  GASTOS CORRIENTES</t>
  </si>
  <si>
    <t>BF_2.1.1</t>
  </si>
  <si>
    <t>   FUNCIONAMIENTO</t>
  </si>
  <si>
    <t>BF_2.1.1.1</t>
  </si>
  <si>
    <t>        Gastos de Personal  </t>
  </si>
  <si>
    <t>BF_2.1.1.2</t>
  </si>
  <si>
    <t>        Gastos Generales</t>
  </si>
  <si>
    <t>BF_2.1.1.3</t>
  </si>
  <si>
    <t>      Transferencias</t>
  </si>
  <si>
    <t>BF_2.1.1.3.1</t>
  </si>
  <si>
    <t>           Pensiones</t>
  </si>
  <si>
    <t>BF_2.1.1.3.2</t>
  </si>
  <si>
    <t>           A Fonpet</t>
  </si>
  <si>
    <t>BF_2.1.1.3.3</t>
  </si>
  <si>
    <t>           A patrimonios autónomos para provisión de pensiones</t>
  </si>
  <si>
    <t>BF_2.1.1.3.4</t>
  </si>
  <si>
    <t>           A organismos de control</t>
  </si>
  <si>
    <t>BF_2.1.1.3.5</t>
  </si>
  <si>
    <t>           A establecimientos públicos y entidades descentralizadas - nivel territorial</t>
  </si>
  <si>
    <t>BF_2.1.1.3.6</t>
  </si>
  <si>
    <t>           Sentencias y Conciliaciones</t>
  </si>
  <si>
    <t>BF_2.1.1.3.7</t>
  </si>
  <si>
    <t>           Otras Transferencias</t>
  </si>
  <si>
    <t>BF_2.1.1.4</t>
  </si>
  <si>
    <t>        Déficit fiscal de vigencias anteriores por funcionamiento</t>
  </si>
  <si>
    <t>BF_2.1.1.5</t>
  </si>
  <si>
    <t>        Costos y gastos asociados a la operación, producción y comercialización</t>
  </si>
  <si>
    <t>BF_2.1.1.6</t>
  </si>
  <si>
    <t>        Otros gastos de funcionamiento</t>
  </si>
  <si>
    <t>BF_2.1.1.7</t>
  </si>
  <si>
    <t xml:space="preserve">        Reservas Presupuestales de funcionamiento vigencia anterior</t>
  </si>
  <si>
    <t>BF_2.1.2</t>
  </si>
  <si>
    <t>   PAGO DE BONOS PENSIONALES Y CUOTAS PARTES DE BONO PENSIONAL</t>
  </si>
  <si>
    <t>BF_2.1.2.1</t>
  </si>
  <si>
    <t xml:space="preserve">        Pago de bonos pensionales y cuotas partes de bono pensional (gastos de funcionamiento)</t>
  </si>
  <si>
    <t>BF_2.1.2.2</t>
  </si>
  <si>
    <t xml:space="preserve">        Pago de bonos pensionales y cuotas partes de bono pensional (Del servicio de la deuda)</t>
  </si>
  <si>
    <t>BF_2.1.3</t>
  </si>
  <si>
    <t>   APORTES AL FONDO DE CONTINGENCIAS DE LAS ENTIDADES ESTATALES</t>
  </si>
  <si>
    <t>BF_2.1.4</t>
  </si>
  <si>
    <t>   GASTOS OPERATIVOS EN SECTORES SOCIALES (remuneración al trabajo, prestaciones, y subsidios en sectores de inversión)</t>
  </si>
  <si>
    <t>BF_2.1.4.1</t>
  </si>
  <si>
    <t>        Educación</t>
  </si>
  <si>
    <t>BF_2.1.4.2</t>
  </si>
  <si>
    <t>        Salud</t>
  </si>
  <si>
    <t>BF_2.1.4.3</t>
  </si>
  <si>
    <t>        Agua potable y saneamiento básico</t>
  </si>
  <si>
    <t>BF_2.1.4.4</t>
  </si>
  <si>
    <t>BF_2.1.4.5</t>
  </si>
  <si>
    <t>        Otros sectores</t>
  </si>
  <si>
    <t>BF_2.1.5</t>
  </si>
  <si>
    <t>   INTERESES Y COMISIONES DE LA DEUDA</t>
  </si>
  <si>
    <t>BF_2.1.5.1</t>
  </si>
  <si>
    <t>        Interna</t>
  </si>
  <si>
    <t>BF_2.1.5.2</t>
  </si>
  <si>
    <t>        Externa</t>
  </si>
  <si>
    <t>BF_3</t>
  </si>
  <si>
    <t>DÉFICIT O AHORRO CORRIENTE</t>
  </si>
  <si>
    <t>BF_4</t>
  </si>
  <si>
    <t>INGRESOS DE CAPITAL</t>
  </si>
  <si>
    <t>BF_4.1</t>
  </si>
  <si>
    <t>  Cofinanciación</t>
  </si>
  <si>
    <t>BF_4.2</t>
  </si>
  <si>
    <t>  Regalías y Compensaciones</t>
  </si>
  <si>
    <t>BF_4.3</t>
  </si>
  <si>
    <t>BF_4.4</t>
  </si>
  <si>
    <t>  Rendimientos Financieros</t>
  </si>
  <si>
    <t>BF_4.5</t>
  </si>
  <si>
    <t>  Excedentes Financieros</t>
  </si>
  <si>
    <t>BF_4.6</t>
  </si>
  <si>
    <t xml:space="preserve">  Recursos del Balance (Superávit fiscal, Cancelación de reservas)</t>
  </si>
  <si>
    <t>BF_4.7</t>
  </si>
  <si>
    <t>  Recursos que financian reservas presupuestales excepcionales (Ley 819/2003)</t>
  </si>
  <si>
    <t>BF_4.8</t>
  </si>
  <si>
    <t xml:space="preserve">  Venta de Activos</t>
  </si>
  <si>
    <t>BF_4.9</t>
  </si>
  <si>
    <t xml:space="preserve">  Reducción de capital de empresas</t>
  </si>
  <si>
    <t>BF_4.10</t>
  </si>
  <si>
    <t>  Desahorro FONPET</t>
  </si>
  <si>
    <t>BF_4.11</t>
  </si>
  <si>
    <t>  Otros recursos de capital  (donaciones, aprovechamientos y otros)</t>
  </si>
  <si>
    <t>BF_5</t>
  </si>
  <si>
    <t>GASTOS DE CAPITAL</t>
  </si>
  <si>
    <t>BF_5.1</t>
  </si>
  <si>
    <t>  Formación Bruta de Capital (construcción, reparación, mantenimiento, preinversión, otros)</t>
  </si>
  <si>
    <t>BF_5.1.1</t>
  </si>
  <si>
    <t>BF_5.1.2</t>
  </si>
  <si>
    <t>BF_5.1.3</t>
  </si>
  <si>
    <t>BF_5.1.4</t>
  </si>
  <si>
    <t>BF_5.1.5</t>
  </si>
  <si>
    <t>BF_5.1.6</t>
  </si>
  <si>
    <t>BF_5.1.7</t>
  </si>
  <si>
    <t>BF_5.2</t>
  </si>
  <si>
    <t>BF_6</t>
  </si>
  <si>
    <t>DÉFICIT O SUPERÁVIT DE CAPITAL</t>
  </si>
  <si>
    <t>BF_7</t>
  </si>
  <si>
    <t>DÉFICIT O SUPERÁVIT TOTAL</t>
  </si>
  <si>
    <t>BF_8</t>
  </si>
  <si>
    <t>FINANCIACIÓN</t>
  </si>
  <si>
    <t>BF_8.1</t>
  </si>
  <si>
    <t>  RECURSOS DEL CRÉDITO</t>
  </si>
  <si>
    <t>BF_8.1.1</t>
  </si>
  <si>
    <t>   Interno</t>
  </si>
  <si>
    <t>BF_8.1.1.1</t>
  </si>
  <si>
    <t>       Desembolsos</t>
  </si>
  <si>
    <t>BF_8.1.1.2</t>
  </si>
  <si>
    <t>       Amortizaciones</t>
  </si>
  <si>
    <t>BF_8.1.2</t>
  </si>
  <si>
    <t>   Externo</t>
  </si>
  <si>
    <t>BF_8.1.2.1</t>
  </si>
  <si>
    <t>BF_8.1.2.2</t>
  </si>
  <si>
    <t>BF_9</t>
  </si>
  <si>
    <t>BALANCE PRIMARIO</t>
  </si>
  <si>
    <t>BF_9.1</t>
  </si>
  <si>
    <t>  DÉFICIT O SUPERÁVIT PRIMARIO</t>
  </si>
  <si>
    <t>BF_9.2</t>
  </si>
  <si>
    <t>  DÉFICIT O SUPERÁVIT PRIMARIO/INTERESES</t>
  </si>
  <si>
    <t>BF_10</t>
  </si>
  <si>
    <t xml:space="preserve">  RESULTADO PRESUPUESTAL SIN INCLUIR RESERVAS PRESUPUESTALES</t>
  </si>
  <si>
    <t>BF_10.1</t>
  </si>
  <si>
    <t> INGRESOS TOTALES SIN INCLUIR RECURSOS PARA RESERVAS PRESUPUESTALES</t>
  </si>
  <si>
    <t>BF_10.2</t>
  </si>
  <si>
    <t> GASTOS TOTALES SIN INCLUIR GASTOS POR RESERVAS PRESUPUESTALES</t>
  </si>
  <si>
    <t>BF_10.3</t>
  </si>
  <si>
    <t xml:space="preserve">  DÉFICIT O SUPERÁVIT PRESUPUESTAL SIN INCLUIR RESERVAS PRESUPUESTALES</t>
  </si>
  <si>
    <t>EJECUCION RESERVAS PRESUPUESTALES VIGENCIA ANTERIOR</t>
  </si>
  <si>
    <t>BF_11.4</t>
  </si>
  <si>
    <t>  DEFICIT O SUPERAVIT RESERVAS PRESUPUESTALES</t>
  </si>
  <si>
    <t>BF_12</t>
  </si>
  <si>
    <t>RESULTADO PRESUPUESTAL INCLUYENDO RESERVAS PRESUPUESTALES</t>
  </si>
  <si>
    <t>BF_12.1</t>
  </si>
  <si>
    <t xml:space="preserve">   INGRESOS TOTALES</t>
  </si>
  <si>
    <t>BF_12.2</t>
  </si>
  <si>
    <t>   GASTOS TOTALES</t>
  </si>
  <si>
    <t>BF_12.3</t>
  </si>
  <si>
    <t>   DÉFICIT O SUPERÁVIT PRESUPUESTAL</t>
  </si>
  <si>
    <t>C1_FUT</t>
  </si>
  <si>
    <t>C2_FUT</t>
  </si>
  <si>
    <t>C3_FUT</t>
  </si>
  <si>
    <t>C4_FUT</t>
  </si>
  <si>
    <t>BF_2.1.1.8</t>
  </si>
  <si>
    <t>BF_5.1.8</t>
  </si>
  <si>
    <t>Codigo</t>
  </si>
  <si>
    <t>Compromisos</t>
  </si>
  <si>
    <t>Sin_Situacion</t>
  </si>
  <si>
    <t>Entidad</t>
  </si>
  <si>
    <t>210205002</t>
  </si>
  <si>
    <t>NOMBRE_ENTIDAD</t>
  </si>
  <si>
    <t>DIVIPOLA</t>
  </si>
  <si>
    <t>TIPO</t>
  </si>
  <si>
    <t>CATEGORIA_ANTERIOR</t>
  </si>
  <si>
    <t>CATEGORIA_ACTUAL</t>
  </si>
  <si>
    <t>CONTRALORIA</t>
  </si>
  <si>
    <t>SALUD</t>
  </si>
  <si>
    <t>EDUCACION</t>
  </si>
  <si>
    <t>INGRESOS</t>
  </si>
  <si>
    <t>FUNCIONAMIENTO</t>
  </si>
  <si>
    <t>INVERSION</t>
  </si>
  <si>
    <t>TOTAL_GASTOS</t>
  </si>
  <si>
    <t>SERVICIO_DEUDA</t>
  </si>
  <si>
    <t>DEUDA</t>
  </si>
  <si>
    <t>ABEJORRAL</t>
  </si>
  <si>
    <t>5002</t>
  </si>
  <si>
    <t>M</t>
  </si>
  <si>
    <t>DEPARTAMENTO NACIONAL DE PLANEACION</t>
  </si>
  <si>
    <t>Código DANE:</t>
  </si>
  <si>
    <t>Vigencia Fiscal:</t>
  </si>
  <si>
    <t>Categoría:</t>
  </si>
  <si>
    <t>Nit:</t>
  </si>
  <si>
    <t>Plan Financiero</t>
  </si>
  <si>
    <t>Millones de pesos</t>
  </si>
  <si>
    <t>Corrientes *</t>
  </si>
  <si>
    <t>Constantes</t>
  </si>
  <si>
    <t>Tasas de Crecimiento</t>
  </si>
  <si>
    <t>Participaciones</t>
  </si>
  <si>
    <t>CUENTA</t>
  </si>
  <si>
    <t>Promedio</t>
  </si>
  <si>
    <t>1.  INGRESOS CORRIENTES</t>
  </si>
  <si>
    <t>1.1     INGRESOS TRIBUTARIOS</t>
  </si>
  <si>
    <t>1.1.1. PREDIAL</t>
  </si>
  <si>
    <t>1.1.2. INDUSTRIA Y COMERCIO</t>
  </si>
  <si>
    <t>1.1.3. SOBRETASA A LA GASOLINA</t>
  </si>
  <si>
    <t>1.1.4. OTROS</t>
  </si>
  <si>
    <t>1.2.    INGRESOS NO TRIBUTARIOS</t>
  </si>
  <si>
    <t>1.3.    TRANSFERENCIAS</t>
  </si>
  <si>
    <t>1.3.1.    DEL NIVEL NACIONAL</t>
  </si>
  <si>
    <t>1.3.2.    OTRAS</t>
  </si>
  <si>
    <t>GASTOS TOTALES</t>
  </si>
  <si>
    <t>3.  GASTOS CORRIENTES</t>
  </si>
  <si>
    <t>3.1.    FUNCIONAMIENTO</t>
  </si>
  <si>
    <t>3.1.1.  SERVICIOS PERSONALES</t>
  </si>
  <si>
    <t>3.1.2. GASTOS GENERALES</t>
  </si>
  <si>
    <t>3.1.3. TRANSFERENCIAS PAGADAS</t>
  </si>
  <si>
    <t>3.2.   INTERESES DEUDA PUBLICA</t>
  </si>
  <si>
    <t>DESAHORRO / AHORRO CORRIENTE (1 - 3)</t>
  </si>
  <si>
    <t>2.  INGRESOS DE CAPITAL</t>
  </si>
  <si>
    <t>2.1.  REGALIAS</t>
  </si>
  <si>
    <t>2.2. TRANSFERENCIAS NACIONALES (SGP, etc.)</t>
  </si>
  <si>
    <t>2.3. COFINANCIACION</t>
  </si>
  <si>
    <t>2.4. OTROS</t>
  </si>
  <si>
    <t>4.   GASTOS DE CAPITAL (INVERSION)</t>
  </si>
  <si>
    <t>4.1.1.1.   FORMACION BRUTAL DE CAPITAL FIJO</t>
  </si>
  <si>
    <t>4.1.1.2.   OTROS</t>
  </si>
  <si>
    <t>DEFICIT O SUPERAVIT TOTAL (1 - 3 + 2 - 4)</t>
  </si>
  <si>
    <t>5. FINANCIAMIENTO (5.1 + 5.2)</t>
  </si>
  <si>
    <t>5.1. CREDITO INTERNO Y EXTERNO (5.1.1 - 5.1.2.)</t>
  </si>
  <si>
    <t>5.1.1. DESEMBOLSOS (+)</t>
  </si>
  <si>
    <t>5.1.2. AMORTIZACIONES (-)</t>
  </si>
  <si>
    <t>5.2. RECURSOS BALANCE, VAR. DEPOSITOS, OTROS</t>
  </si>
  <si>
    <t>SALDO DE DEUDA</t>
  </si>
  <si>
    <t>* Información disponible en la página del DNP:</t>
  </si>
  <si>
    <t>http://www.dnp.gov.co/PortalWeb/Programas/DesarrolloTerritorial/FinanzasPúblicasTerritoriales/EjecucionesPresupuestales/tabid/369/Default.aspx</t>
  </si>
  <si>
    <t>INGRESOS CORRIENTES</t>
  </si>
  <si>
    <t>RESULTADO PRESUPUESTAL</t>
  </si>
  <si>
    <t>DEFICIT O SUPERAVIT PRESUPUESTAL</t>
  </si>
  <si>
    <t>COD_CUE</t>
  </si>
  <si>
    <t>A</t>
  </si>
  <si>
    <t xml:space="preserve">    INGRESOS TOTALES</t>
  </si>
  <si>
    <t>A0</t>
  </si>
  <si>
    <t>A1000</t>
  </si>
  <si>
    <t>A1010</t>
  </si>
  <si>
    <t>A1020</t>
  </si>
  <si>
    <t>A1030</t>
  </si>
  <si>
    <t>1.1.3. SOBRETASAS A LA GASOLINA</t>
  </si>
  <si>
    <t>A1040</t>
  </si>
  <si>
    <t>A2000</t>
  </si>
  <si>
    <t>A3000</t>
  </si>
  <si>
    <t>A3010</t>
  </si>
  <si>
    <t>A3020</t>
  </si>
  <si>
    <t>B</t>
  </si>
  <si>
    <t xml:space="preserve">     GASTOS TOTALES</t>
  </si>
  <si>
    <t>B0</t>
  </si>
  <si>
    <t>2.  GASTOS CORRIENTES</t>
  </si>
  <si>
    <t>B1000</t>
  </si>
  <si>
    <t>2.1.    FUNCIONAMIENTO</t>
  </si>
  <si>
    <t>B1010</t>
  </si>
  <si>
    <t>2.1.1.  SERVICIOS PERSONALES</t>
  </si>
  <si>
    <t>B1020</t>
  </si>
  <si>
    <t>2.1.2. GASTOS GENERALES</t>
  </si>
  <si>
    <t>B1030</t>
  </si>
  <si>
    <t>B2000</t>
  </si>
  <si>
    <t>2.2.   INTERESES DEUDA PUBLICA</t>
  </si>
  <si>
    <t>B3000</t>
  </si>
  <si>
    <t>C</t>
  </si>
  <si>
    <t>3. DEFICIT O AHORRO CORRIENTE (1-2)</t>
  </si>
  <si>
    <t>D</t>
  </si>
  <si>
    <t>4.  INGRESOS DE CAPITAL</t>
  </si>
  <si>
    <t>D1000</t>
  </si>
  <si>
    <t>4.1. REGALÍAS</t>
  </si>
  <si>
    <t>D2000</t>
  </si>
  <si>
    <t>4.2. TRANSFERENCIAS NACIONALES (SGP, etc.)</t>
  </si>
  <si>
    <t>D3000</t>
  </si>
  <si>
    <t>4.3. COFINANCIACION</t>
  </si>
  <si>
    <t>D4000</t>
  </si>
  <si>
    <t>4.4. OTROS</t>
  </si>
  <si>
    <t>E</t>
  </si>
  <si>
    <t>5.   GASTOS DE CAPITAL (INVERSION)</t>
  </si>
  <si>
    <t>E1000</t>
  </si>
  <si>
    <t>5.1.1.1.   FORMACION BRUTAL DE CAPITAL FIJO</t>
  </si>
  <si>
    <t>E2000</t>
  </si>
  <si>
    <t>5.1.1.2.   OTROS</t>
  </si>
  <si>
    <t>G</t>
  </si>
  <si>
    <t>6. DEFICIT O SUPERAVIT TOTAL (3+4-5)</t>
  </si>
  <si>
    <t>H</t>
  </si>
  <si>
    <t>7. FINANCIAMIENTO</t>
  </si>
  <si>
    <t>H1000</t>
  </si>
  <si>
    <t>7.1. CREDITO NETO</t>
  </si>
  <si>
    <t>H1010</t>
  </si>
  <si>
    <t>7.1.1. DESEMBOLSOS (+)</t>
  </si>
  <si>
    <t>H1020</t>
  </si>
  <si>
    <t>7.1.2. AMORTIZACIONES (-)</t>
  </si>
  <si>
    <t>H2000</t>
  </si>
  <si>
    <t>7.3. VARIACION DE DEPOSITOS, RB Y OTROS</t>
  </si>
  <si>
    <t>CUENTAS DE FINANCIAMIENTO</t>
  </si>
  <si>
    <t>1. CREDITO</t>
  </si>
  <si>
    <t>CONCEPTO</t>
  </si>
  <si>
    <t>1.</t>
  </si>
  <si>
    <t xml:space="preserve">INGRESOS CORRIENTES </t>
  </si>
  <si>
    <t>1.1</t>
  </si>
  <si>
    <t>(+) Ingresos tributarios</t>
  </si>
  <si>
    <t>1.2</t>
  </si>
  <si>
    <t>(+) Ingresos no tributarios</t>
  </si>
  <si>
    <t>1.3</t>
  </si>
  <si>
    <t>1.4</t>
  </si>
  <si>
    <t>1.5</t>
  </si>
  <si>
    <t>(+) Recursos del balance</t>
  </si>
  <si>
    <t>1.6</t>
  </si>
  <si>
    <t>(+) Rendimientos financieros</t>
  </si>
  <si>
    <t>1.7</t>
  </si>
  <si>
    <t>(-) Reservas 819/03 vigencia anterior</t>
  </si>
  <si>
    <t>1.8</t>
  </si>
  <si>
    <t>(-) Ingresos que soportan las vigencias futuras</t>
  </si>
  <si>
    <t>1.9</t>
  </si>
  <si>
    <t>(-) Rentas titularizadas</t>
  </si>
  <si>
    <t>2.</t>
  </si>
  <si>
    <t>GASTOS DE FUNCIONAMIENTO</t>
  </si>
  <si>
    <t>2.1</t>
  </si>
  <si>
    <t>(+) Gastos de personal</t>
  </si>
  <si>
    <t>2.2</t>
  </si>
  <si>
    <t>(+) Gastos generales</t>
  </si>
  <si>
    <t>2.3</t>
  </si>
  <si>
    <t>(+) Transferencias</t>
  </si>
  <si>
    <t>2.4</t>
  </si>
  <si>
    <t>(+) Pago de déficit de funcionamiento de vigencias anteriores</t>
  </si>
  <si>
    <t>2.5</t>
  </si>
  <si>
    <t xml:space="preserve">(+) Gastos de personal presupuestados como inversión </t>
  </si>
  <si>
    <t>2.6</t>
  </si>
  <si>
    <t>(-) Indemnizaciones por programas de ajuste</t>
  </si>
  <si>
    <t>2.7</t>
  </si>
  <si>
    <t>(-) Reservas 819/03 vigencia anterior (funcionamiento)</t>
  </si>
  <si>
    <t>3.</t>
  </si>
  <si>
    <t>AHORRO OPERACIONAL (1-2)</t>
  </si>
  <si>
    <t>4.</t>
  </si>
  <si>
    <t>INFLACION PROYECTADA POR EL BANCO DE LA REPUBLICA</t>
  </si>
  <si>
    <t>5.</t>
  </si>
  <si>
    <t>SALDO DE DEUDA A 31 DE DICIEMBRE</t>
  </si>
  <si>
    <t>6.</t>
  </si>
  <si>
    <t xml:space="preserve">INTERESES DE LA DEUDA </t>
  </si>
  <si>
    <t>Intereses causados en la vigencia por pagar</t>
  </si>
  <si>
    <t>7.</t>
  </si>
  <si>
    <t xml:space="preserve">AMORTIZACIONES </t>
  </si>
  <si>
    <t>8.</t>
  </si>
  <si>
    <t>SITUACIÓN DEL NUEVO CREDITO</t>
  </si>
  <si>
    <t>8.1</t>
  </si>
  <si>
    <t>Valor total del Nuevo Crédito</t>
  </si>
  <si>
    <t>8.2</t>
  </si>
  <si>
    <t xml:space="preserve">Amortizaciones del nuevo credito </t>
  </si>
  <si>
    <t>8.3</t>
  </si>
  <si>
    <t xml:space="preserve">Intereses del nuevo credito </t>
  </si>
  <si>
    <t>8.4</t>
  </si>
  <si>
    <t xml:space="preserve">Saldo del nuevo credito </t>
  </si>
  <si>
    <t>9.</t>
  </si>
  <si>
    <t>CALCULO INDICADORES</t>
  </si>
  <si>
    <t>9.1</t>
  </si>
  <si>
    <t>TOTAL INTERESES   = ( 6 + 8.3 )</t>
  </si>
  <si>
    <t>9.2</t>
  </si>
  <si>
    <t>SALDO DEUDA NETO CON NUEVO CREDITO = ( 5 + 8.1 - 8.2 - 7)</t>
  </si>
  <si>
    <t>9.3</t>
  </si>
  <si>
    <t>9.4</t>
  </si>
  <si>
    <t>9.5</t>
  </si>
  <si>
    <t>ESTADO ACTUAL DE LA ENTIDAD (SEMÁFORO INTERESES)</t>
  </si>
  <si>
    <t>9.6</t>
  </si>
  <si>
    <t>ESTADO ACTUAL DE LA ENTIDAD (SEMÁFORO SALDO DE DEUDA)</t>
  </si>
  <si>
    <t>9.7</t>
  </si>
  <si>
    <t>CAPACIDAD DE ENDEUDAMIENTO (SEMAFORO)</t>
  </si>
  <si>
    <t>SUPERAVIT PRIMARIO</t>
  </si>
  <si>
    <t>RECURSOS DE CAPITAL</t>
  </si>
  <si>
    <t>GASTOS DE INVERSION</t>
  </si>
  <si>
    <t>INDICADOR (superavit primario / Intereses) &gt; = 100</t>
  </si>
  <si>
    <t>Servicio</t>
  </si>
  <si>
    <t>Intereses</t>
  </si>
  <si>
    <t>2.3.   OTROS GASTOS CORRIENTES</t>
  </si>
  <si>
    <t>2.1.3. TRANSFERENCIAS PAGADAS Y OTROS</t>
  </si>
  <si>
    <t>SOSTENIBILIDAD = SALDO / INGRESOS CORRIENTES  = (9.2 / 1 ): SD / IC &lt;= 80%</t>
  </si>
  <si>
    <t>SOLVENCIA = INTERESES / AHORRO OPERACIONAL= ( 9.1 / 3 ):  I / AO &lt;= 40%</t>
  </si>
  <si>
    <t>(+) Regalías y compensaciones monetarias</t>
  </si>
  <si>
    <t>(+) Sistema General de Participaciones (Libre dest. +  APSB + Propósito General)</t>
  </si>
  <si>
    <t>2. RECURSOS DEL BALANCE + VENTA DE ACTIVOS</t>
  </si>
  <si>
    <t>LEY 819 DE 2003 (millones de pesos)</t>
  </si>
  <si>
    <t>Departamento</t>
  </si>
  <si>
    <t>Municipio</t>
  </si>
  <si>
    <t>CONTRALORIA GENERAL DE LA REPUBLICA</t>
  </si>
  <si>
    <t>1.1.9. OTROS</t>
  </si>
  <si>
    <t>1.1.8.  VEHICULOS AUTOMOTORES</t>
  </si>
  <si>
    <t>1.1.7.  REGISTRO Y ANOTACION</t>
  </si>
  <si>
    <t>1.1.6.  CIGARRILLOS Y TABACO</t>
  </si>
  <si>
    <t>1.1.5.  LICORES</t>
  </si>
  <si>
    <t>1.1.4.  CERVEZA</t>
  </si>
  <si>
    <t xml:space="preserve">Plan Financiero (millones de $ corrientes) </t>
  </si>
  <si>
    <t>CERVEZA</t>
  </si>
  <si>
    <t>LICORES</t>
  </si>
  <si>
    <t>CIGARRILLOS Y TABACO</t>
  </si>
  <si>
    <t>REGISTRO Y ANOTACION</t>
  </si>
  <si>
    <t>VEHICULOS AUTOMOTORES</t>
  </si>
  <si>
    <t>SOBRETASA A LA GASOLINA</t>
  </si>
  <si>
    <t>OTROS</t>
  </si>
  <si>
    <t>Total</t>
  </si>
  <si>
    <t>           SGP - Propósito General - Libre destinación - Municipios categorías 4, 5 y 6</t>
  </si>
  <si>
    <t>SALDO DE LA DEUDA</t>
  </si>
  <si>
    <t>Año</t>
  </si>
  <si>
    <t>Regalías</t>
  </si>
  <si>
    <t>SGP</t>
  </si>
  <si>
    <t>%</t>
  </si>
  <si>
    <t>Balance Financiero (millones de $ corrientes)</t>
  </si>
  <si>
    <t>MAGDALENA</t>
  </si>
  <si>
    <t>CIÉNAGA</t>
  </si>
  <si>
    <t xml:space="preserve">     Recreación y Deporte</t>
  </si>
  <si>
    <t xml:space="preserve">     Otros Sectores</t>
  </si>
  <si>
    <t>  Financiación Acuerdo de Reestructuración de Pasivos</t>
  </si>
  <si>
    <t xml:space="preserve">     Medio Ambiente</t>
  </si>
  <si>
    <t xml:space="preserve">     Transporte</t>
  </si>
  <si>
    <t xml:space="preserve">     Atención a Grupos Vulnerables</t>
  </si>
  <si>
    <t>BF_5.1.7.1.</t>
  </si>
  <si>
    <t>BF_5.1.7.2.</t>
  </si>
  <si>
    <t>BF_5.1.7.3.</t>
  </si>
  <si>
    <t xml:space="preserve">     Equipamento Municipal</t>
  </si>
  <si>
    <t>BF_5.1.7.4.</t>
  </si>
  <si>
    <t xml:space="preserve">     Justicia</t>
  </si>
  <si>
    <t>S.G.P. Educación Calidad</t>
  </si>
  <si>
    <t>S.G.R.</t>
  </si>
  <si>
    <t>S.G.P. Alimentación Escolar</t>
  </si>
  <si>
    <t>Impuesto Transporte al Gas</t>
  </si>
  <si>
    <t>S.G.P. Deporte y Recreación</t>
  </si>
  <si>
    <t>Estampilla Prodeporte</t>
  </si>
  <si>
    <t>   Agua potable</t>
  </si>
  <si>
    <t>   Salud</t>
  </si>
  <si>
    <t>   Educación</t>
  </si>
  <si>
    <t>S.G.P. Cultura</t>
  </si>
  <si>
    <t>Estampilla ProCultura</t>
  </si>
  <si>
    <t>   Cultura</t>
  </si>
  <si>
    <t>S.G.P. Libre Inversión</t>
  </si>
  <si>
    <t>Estampilla Pro-Adulto Mayor</t>
  </si>
  <si>
    <t>Contribución Sobre Contratos de Obra Pública 5%</t>
  </si>
  <si>
    <t xml:space="preserve">     Atencióny Prevención de Desastres</t>
  </si>
  <si>
    <t>S.G.P. Agua Potable y Saneamiento Básico</t>
  </si>
  <si>
    <t>S.G.P. Salud</t>
  </si>
  <si>
    <t>Fosyga</t>
  </si>
  <si>
    <t>Cofinanciación</t>
  </si>
  <si>
    <t>Industria y Comercio</t>
  </si>
  <si>
    <t>Avisosy Tableros</t>
  </si>
  <si>
    <t>I.C.L.D.</t>
  </si>
  <si>
    <t>PROYECTOS PRIORIZADOS PLAN DE DESARROLLO 25%</t>
  </si>
  <si>
    <t>INTERVENTORIA 10%</t>
  </si>
  <si>
    <t>INVERSIÓN 65%</t>
  </si>
  <si>
    <t xml:space="preserve">    Interventoria Técnica Proyectos de Regalías</t>
  </si>
  <si>
    <t>S.G.P. Agua Patable y Saneamiento Básico 35%</t>
  </si>
  <si>
    <t>S.G.P. Agua Patable y Saneamiento Básico 50%</t>
  </si>
  <si>
    <t>S.G.R. Alimentación Escolar</t>
  </si>
  <si>
    <t>  Regalías Alimentación Escolar</t>
  </si>
  <si>
    <t xml:space="preserve">  S.G.R.</t>
  </si>
  <si>
    <t>  S.G.R. Alimentación Escolar</t>
  </si>
  <si>
    <t xml:space="preserve">  Regalías y Compensaciones</t>
  </si>
  <si>
    <t>Financiación Acuerdo de Reestructuración de Pasivos  Regalías y Compensaciones</t>
  </si>
  <si>
    <t xml:space="preserve">    Interventoria Técnica Proyectos de Regalías S.G.R.</t>
  </si>
  <si>
    <t>Regalías y Compensaciones</t>
  </si>
  <si>
    <t>Proposito General</t>
  </si>
  <si>
    <t>Agua Potable y Saneamiento Básico</t>
  </si>
  <si>
    <t>Educación</t>
  </si>
  <si>
    <t>Recursos Propios</t>
  </si>
  <si>
    <t>S.G.P. Prestación del servicio</t>
  </si>
  <si>
    <t>S.G.P. Aportes Patronales</t>
  </si>
  <si>
    <t>   Educación Alimentación Escolar</t>
  </si>
  <si>
    <t>Cofinanciación Nacional Ley 21</t>
  </si>
  <si>
    <t>S.G.P. Gratuidad de la Educación</t>
  </si>
  <si>
    <t>Calidad de la Educación</t>
  </si>
  <si>
    <t xml:space="preserve">     Fortalecimiento Institucional</t>
  </si>
  <si>
    <t xml:space="preserve">     Otros Sectores de Inversión</t>
  </si>
  <si>
    <t>BF_5.1.7.5.</t>
  </si>
  <si>
    <t>Recursos Propios Destinación Especifica</t>
  </si>
  <si>
    <t>S.G.P. Salud Pública</t>
  </si>
  <si>
    <t>        Justicia</t>
  </si>
  <si>
    <t>BF_1.1.3.2.1.1.1,1</t>
  </si>
  <si>
    <t>BF_1.1.3.2.1.1.1,2</t>
  </si>
  <si>
    <t>BF_1.1.3.2.1.1.1,3</t>
  </si>
  <si>
    <t>BF_1.1.3.2.1.1.1,4</t>
  </si>
  <si>
    <t>BF_1.1.3.2.1.1.2,1</t>
  </si>
  <si>
    <t>BF_1.1.3.2.1.1.2,2</t>
  </si>
  <si>
    <t>S.G.P. Regímen Subsidiado</t>
  </si>
  <si>
    <t>S.G.P. AGUA POTABLE Y SANEAMIENTO BÁSICO</t>
  </si>
  <si>
    <t>S.G.P. PROPOSITO GENERAL</t>
  </si>
  <si>
    <t xml:space="preserve">S.G.P. SALUD </t>
  </si>
  <si>
    <t>S.G.P. EDUCACIÓN</t>
  </si>
  <si>
    <t>COFINANCIACIÓN</t>
  </si>
  <si>
    <t>ESTAMPILLAS, Pro-Adulto Mayor, Pro-Cultura, Pro-Deporte, Alumbrado Público y 5% Contrato de Obra</t>
  </si>
  <si>
    <t>RECURSOS PROPIOS, Espectaculos Públicos, Rifas y Apuestas, Juegos permitidos, Sobretasa Bomberil</t>
  </si>
  <si>
    <t>2014/2013</t>
  </si>
  <si>
    <t>2015/2014</t>
  </si>
  <si>
    <t>2016/2015</t>
  </si>
  <si>
    <t>A2013</t>
  </si>
  <si>
    <t>A2014</t>
  </si>
  <si>
    <t>A2015</t>
  </si>
  <si>
    <t>A2016</t>
  </si>
  <si>
    <t>Contraprestación Concesión Portuaria</t>
  </si>
  <si>
    <t>Capacidad de Endeudamiento 2018 (miles de pesos)</t>
  </si>
  <si>
    <t>        Avisos Tableros y Vallas</t>
  </si>
  <si>
    <t xml:space="preserve">        Contribución sobre Contratos de Obra 5%</t>
  </si>
  <si>
    <t>Cofinanciación Departamental</t>
  </si>
  <si>
    <t>Esfuerzo Propio Coljuegos S.S.F.</t>
  </si>
  <si>
    <t>Esfuerzo Propio Coljuegos S.S.F. Departamento</t>
  </si>
  <si>
    <t>Compensación Alimentación Escolar Artículo 145 Ley 1530 /2012</t>
  </si>
  <si>
    <t>Convenio Interadministrativo - MINEDUCACIÓN PAE LEY 1450/11</t>
  </si>
  <si>
    <t>S.G.P. Agua Patable y Saneamiento Básico</t>
  </si>
  <si>
    <t>S.G.P. Deporte y Recreación Vigencia Futura</t>
  </si>
  <si>
    <t>Estampilla Prodeporte Vigencia Futura</t>
  </si>
  <si>
    <t>Concesión Portuaria Vigencia Futura</t>
  </si>
  <si>
    <t>Recursos Propios Sobretasa a la Gasolina 80% Vigencia Futura</t>
  </si>
  <si>
    <t>Recursos Propios Vigencia Futura</t>
  </si>
  <si>
    <t>Recursos Propios Industria y Comercio Vigencia Futura 10%</t>
  </si>
  <si>
    <t>Recursos Propios Avisosy Tableros Vigencia futura 100%</t>
  </si>
  <si>
    <t>Impuesto de Transporte al Gas</t>
  </si>
  <si>
    <t>Coljuegos C.S.F.</t>
  </si>
  <si>
    <t>Plan Financiero (pesos $ corrientes)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</si>
</sst>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 #,##0;\-&quot;$&quot;\ #,##0"/>
    <numFmt numFmtId="164" formatCode="_(* #,##0.00_);_(* \(#,##0.00\);_(* &quot;-&quot;??_);_(@_)"/>
    <numFmt numFmtId="165" formatCode="#,##0.000"/>
    <numFmt numFmtId="166" formatCode="_(* #,##0.000_);_(* \(#,##0.000\);_(* &quot;-&quot;??_);_(@_)"/>
    <numFmt numFmtId="167" formatCode="_ * #,##0_ ;_ * \-#,##0_ ;_ * &quot;-&quot;??_ ;_ @_ "/>
    <numFmt numFmtId="168" formatCode="_ * #,##0.00_ ;_ * \-#,##0.00_ ;_ * &quot;-&quot;??_ ;_ @_ "/>
    <numFmt numFmtId="169" formatCode="_-* #,##0.000\ _p_t_a_-;\-* #,##0.000\ _p_t_a_-;_-* &quot;-&quot;??\ _p_t_a_-;_-@_-"/>
    <numFmt numFmtId="170" formatCode="_(* #,##0_);_(* \(#,##0\);_(* &quot;-&quot;??_);_(@_)"/>
    <numFmt numFmtId="171" formatCode="0.0"/>
    <numFmt numFmtId="172" formatCode="_ * #,##0.0_ ;_ * \-#,##0.0_ ;_ * &quot;-&quot;??_ ;_ @_ "/>
    <numFmt numFmtId="173" formatCode="_ * #,##0.0_ ;_ * \-#,##0.0_ ;_ * &quot;-&quot;?_ ;_ @_ "/>
    <numFmt numFmtId="174" formatCode="0.0%"/>
    <numFmt numFmtId="175" formatCode="\$#,##0.00\ ;\(\$#,##0.00\)"/>
    <numFmt numFmtId="176" formatCode="_([$€-2]* #,##0.00_);_([$€-2]* \(#,##0.00\);_([$€-2]* &quot;-&quot;??_)"/>
    <numFmt numFmtId="177" formatCode="#.##000"/>
    <numFmt numFmtId="178" formatCode="_-* #,##0\ _P_t_s_-;\-* #,##0\ _P_t_s_-;_-* &quot;-&quot;\ _P_t_s_-;_-@_-"/>
    <numFmt numFmtId="179" formatCode="0_)"/>
    <numFmt numFmtId="180" formatCode="\$#,#00"/>
    <numFmt numFmtId="181" formatCode="_-* #,##0\ &quot;Pts&quot;_-;\-* #,##0\ &quot;Pts&quot;_-;_-* &quot;-&quot;\ &quot;Pts&quot;_-;_-@_-"/>
    <numFmt numFmtId="182" formatCode="&quot;$&quot;#,##0;\-&quot;$&quot;#,##0"/>
    <numFmt numFmtId="183" formatCode="#,##0."/>
    <numFmt numFmtId="184" formatCode="_(* #,##0.0000000_);_(* \(#,##0.0000000\);_(* &quot;-&quot;??_);_(@_)"/>
    <numFmt numFmtId="185" formatCode="_(* #,##0.000000_);_(* \(#,##0.000000\);_(* &quot;-&quot;??_);_(@_)"/>
    <numFmt numFmtId="186" formatCode="#,##0.000;\-#,##0.000"/>
    <numFmt numFmtId="187" formatCode="%#,#00"/>
    <numFmt numFmtId="188" formatCode="General_)"/>
    <numFmt numFmtId="189" formatCode="_(* #,##0.0_);_(* \(#,##0.0\);_(* &quot;-&quot;??_);_(@_)"/>
  </numFmts>
  <fonts count="58">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0"/>
      <color indexed="8"/>
      <name val="Arial Narrow"/>
      <family val="2"/>
    </font>
    <font>
      <b/>
      <sz val="12"/>
      <color indexed="9"/>
      <name val="Arial Narrow"/>
      <family val="2"/>
    </font>
    <font>
      <sz val="12"/>
      <color indexed="9"/>
      <name val="Arial Narrow"/>
      <family val="2"/>
    </font>
    <font>
      <b/>
      <sz val="10"/>
      <name val="Arial Narrow"/>
      <family val="2"/>
    </font>
    <font>
      <sz val="10"/>
      <name val="Arial Narrow"/>
      <family val="2"/>
    </font>
    <font>
      <b/>
      <sz val="10"/>
      <color indexed="9"/>
      <name val="Arial Narrow"/>
      <family val="2"/>
    </font>
    <font>
      <sz val="11"/>
      <color indexed="8"/>
      <name val="Calibri"/>
      <family val="2"/>
    </font>
    <font>
      <b/>
      <sz val="10"/>
      <name val="Arial"/>
      <family val="2"/>
    </font>
    <font>
      <u/>
      <sz val="9"/>
      <color theme="10"/>
      <name val="Arial"/>
      <family val="2"/>
    </font>
    <font>
      <b/>
      <sz val="9"/>
      <name val="Arial Narrow"/>
      <family val="2"/>
    </font>
    <font>
      <sz val="9"/>
      <name val="Arial Narrow"/>
      <family val="2"/>
    </font>
    <font>
      <b/>
      <sz val="9"/>
      <color indexed="8"/>
      <name val="Arial Narrow"/>
      <family val="2"/>
    </font>
    <font>
      <sz val="9"/>
      <color indexed="8"/>
      <name val="Arial Narrow"/>
      <family val="2"/>
    </font>
    <font>
      <sz val="11"/>
      <color indexed="8"/>
      <name val="Arial Narrow"/>
      <family val="2"/>
    </font>
    <font>
      <sz val="9.5"/>
      <name val="Arial Narrow"/>
      <family val="2"/>
    </font>
    <font>
      <b/>
      <sz val="9.5"/>
      <color indexed="8"/>
      <name val="Arial Narrow"/>
      <family val="2"/>
    </font>
    <font>
      <sz val="9.5"/>
      <color indexed="8"/>
      <name val="Arial Narrow"/>
      <family val="2"/>
    </font>
    <font>
      <b/>
      <sz val="8"/>
      <color indexed="9"/>
      <name val="Arial Narrow"/>
      <family val="2"/>
    </font>
    <font>
      <b/>
      <sz val="12"/>
      <name val="Arial Narrow"/>
      <family val="2"/>
    </font>
    <font>
      <u/>
      <sz val="10"/>
      <color theme="10"/>
      <name val="Arial Narrow"/>
      <family val="2"/>
    </font>
    <font>
      <b/>
      <sz val="11"/>
      <color indexed="9"/>
      <name val="Arial Narrow"/>
      <family val="2"/>
    </font>
    <font>
      <sz val="11"/>
      <name val="Arial Narrow"/>
      <family val="2"/>
    </font>
    <font>
      <sz val="10"/>
      <name val="Arial"/>
      <family val="2"/>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b/>
      <sz val="1"/>
      <color indexed="8"/>
      <name val="Courier"/>
      <family val="3"/>
    </font>
    <font>
      <sz val="1"/>
      <color indexed="8"/>
      <name val="Courier"/>
      <family val="3"/>
    </font>
    <font>
      <b/>
      <i/>
      <sz val="1"/>
      <color indexed="8"/>
      <name val="Courier"/>
      <family val="3"/>
    </font>
    <font>
      <sz val="10"/>
      <name val="BERNHARD"/>
    </font>
    <font>
      <sz val="8"/>
      <color indexed="10"/>
      <name val="BERNHARD"/>
    </font>
    <font>
      <sz val="12"/>
      <name val="Arial MT"/>
    </font>
    <font>
      <sz val="14"/>
      <color rgb="FFFF0000"/>
      <name val="Arial"/>
      <family val="2"/>
    </font>
    <font>
      <b/>
      <sz val="10"/>
      <color theme="4" tint="-0.499984740745262"/>
      <name val="Arial"/>
      <family val="2"/>
    </font>
    <font>
      <b/>
      <sz val="8"/>
      <name val="Arial Narrow"/>
      <family val="2"/>
    </font>
    <font>
      <b/>
      <sz val="10"/>
      <color indexed="8"/>
      <name val="Arial Narrow"/>
      <family val="2"/>
    </font>
    <font>
      <b/>
      <sz val="10.5"/>
      <color indexed="9"/>
      <name val="Arial Narrow"/>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F3151"/>
        <bgColor indexed="64"/>
      </patternFill>
    </fill>
    <fill>
      <patternFill patternType="solid">
        <fgColor rgb="FF666699"/>
        <bgColor indexed="64"/>
      </patternFill>
    </fill>
    <fill>
      <patternFill patternType="solid">
        <fgColor rgb="FFCCCCFF"/>
        <bgColor indexed="64"/>
      </patternFill>
    </fill>
    <fill>
      <patternFill patternType="solid">
        <fgColor rgb="FF003366"/>
        <bgColor indexed="64"/>
      </patternFill>
    </fill>
    <fill>
      <patternFill patternType="solid">
        <fgColor indexed="9"/>
        <bgColor indexed="64"/>
      </patternFill>
    </fill>
    <fill>
      <patternFill patternType="solid">
        <fgColor theme="8" tint="0.59999389629810485"/>
        <bgColor indexed="64"/>
      </patternFill>
    </fill>
    <fill>
      <patternFill patternType="solid">
        <fgColor theme="8" tint="0.79998168889431442"/>
        <bgColor indexed="8"/>
      </patternFill>
    </fill>
    <fill>
      <patternFill patternType="solid">
        <fgColor theme="0"/>
        <bgColor indexed="8"/>
      </patternFill>
    </fill>
    <fill>
      <patternFill patternType="solid">
        <fgColor theme="0"/>
        <bgColor indexed="64"/>
      </patternFill>
    </fill>
    <fill>
      <patternFill patternType="solid">
        <fgColor rgb="FFFFFF00"/>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666699"/>
      </left>
      <right style="thin">
        <color rgb="FF666699"/>
      </right>
      <top style="thin">
        <color rgb="FF666699"/>
      </top>
      <bottom style="thin">
        <color rgb="FF666699"/>
      </bottom>
      <diagonal/>
    </border>
    <border>
      <left style="medium">
        <color rgb="FF666699"/>
      </left>
      <right style="thin">
        <color rgb="FF666699"/>
      </right>
      <top style="thin">
        <color rgb="FF666699"/>
      </top>
      <bottom style="thin">
        <color rgb="FF666699"/>
      </bottom>
      <diagonal/>
    </border>
    <border>
      <left style="thin">
        <color rgb="FF666699"/>
      </left>
      <right/>
      <top style="thin">
        <color rgb="FF666699"/>
      </top>
      <bottom style="thin">
        <color rgb="FF666699"/>
      </bottom>
      <diagonal/>
    </border>
    <border>
      <left style="thin">
        <color rgb="FF666699"/>
      </left>
      <right style="thin">
        <color rgb="FF666699"/>
      </right>
      <top style="thin">
        <color rgb="FF666699"/>
      </top>
      <bottom style="medium">
        <color rgb="FF666699"/>
      </bottom>
      <diagonal/>
    </border>
    <border>
      <left style="medium">
        <color rgb="FF666699"/>
      </left>
      <right style="thin">
        <color rgb="FF666699"/>
      </right>
      <top style="thin">
        <color rgb="FF666699"/>
      </top>
      <bottom style="medium">
        <color rgb="FF666699"/>
      </bottom>
      <diagonal/>
    </border>
    <border>
      <left style="thin">
        <color rgb="FF666699"/>
      </left>
      <right style="thin">
        <color rgb="FF666699"/>
      </right>
      <top/>
      <bottom style="thin">
        <color rgb="FF666699"/>
      </bottom>
      <diagonal/>
    </border>
    <border>
      <left style="medium">
        <color rgb="FF666699"/>
      </left>
      <right style="thin">
        <color rgb="FF666699"/>
      </right>
      <top/>
      <bottom style="thin">
        <color rgb="FF666699"/>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diagonal/>
    </border>
    <border>
      <left style="thin">
        <color rgb="FF666699"/>
      </left>
      <right/>
      <top/>
      <bottom style="thin">
        <color rgb="FF666699"/>
      </bottom>
      <diagonal/>
    </border>
    <border>
      <left/>
      <right/>
      <top/>
      <bottom style="thin">
        <color rgb="FF666699"/>
      </bottom>
      <diagonal/>
    </border>
    <border>
      <left/>
      <right/>
      <top/>
      <bottom style="thin">
        <color theme="0"/>
      </bottom>
      <diagonal/>
    </border>
    <border>
      <left/>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double">
        <color indexed="64"/>
      </top>
      <bottom/>
      <diagonal/>
    </border>
    <border>
      <left/>
      <right/>
      <top style="thin">
        <color rgb="FF666699"/>
      </top>
      <bottom style="thin">
        <color rgb="FF666699"/>
      </bottom>
      <diagonal/>
    </border>
  </borders>
  <cellStyleXfs count="219">
    <xf numFmtId="0" fontId="0" fillId="0" borderId="0"/>
    <xf numFmtId="164" fontId="26"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26" fillId="0" borderId="0" applyFont="0" applyFill="0" applyBorder="0" applyAlignment="0" applyProtection="0"/>
    <xf numFmtId="0" fontId="18" fillId="0" borderId="0"/>
    <xf numFmtId="0" fontId="18" fillId="0" borderId="0"/>
    <xf numFmtId="0" fontId="19" fillId="0" borderId="0"/>
    <xf numFmtId="9" fontId="26"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0" fontId="28" fillId="0" borderId="0" applyNumberFormat="0" applyFill="0" applyBorder="0" applyAlignment="0" applyProtection="0">
      <alignment vertical="top"/>
      <protection locked="0"/>
    </xf>
    <xf numFmtId="0" fontId="19" fillId="0" borderId="0"/>
    <xf numFmtId="165" fontId="18" fillId="0" borderId="0" applyFont="0" applyFill="0" applyBorder="0" applyAlignment="0" applyProtection="0"/>
    <xf numFmtId="165" fontId="18" fillId="0" borderId="0" applyFont="0" applyFill="0" applyBorder="0" applyAlignment="0" applyProtection="0"/>
    <xf numFmtId="0" fontId="42" fillId="0" borderId="0"/>
    <xf numFmtId="169" fontId="18" fillId="0" borderId="0" applyFont="0" applyFill="0" applyBorder="0" applyAlignment="0" applyProtection="0"/>
    <xf numFmtId="165" fontId="18" fillId="0" borderId="0" applyFont="0" applyFill="0" applyBorder="0" applyAlignment="0" applyProtection="0"/>
    <xf numFmtId="0" fontId="44" fillId="0" borderId="0" applyProtection="0"/>
    <xf numFmtId="0" fontId="44" fillId="0" borderId="0"/>
    <xf numFmtId="0" fontId="44" fillId="0" borderId="28" applyProtection="0"/>
    <xf numFmtId="2" fontId="44" fillId="0" borderId="0" applyProtection="0"/>
    <xf numFmtId="4" fontId="44" fillId="0" borderId="0" applyProtection="0"/>
    <xf numFmtId="0" fontId="45" fillId="0" borderId="0" applyProtection="0"/>
    <xf numFmtId="0" fontId="46" fillId="0" borderId="0" applyProtection="0"/>
    <xf numFmtId="175" fontId="44" fillId="0" borderId="0" applyProtection="0"/>
    <xf numFmtId="0" fontId="44" fillId="0" borderId="0"/>
    <xf numFmtId="0" fontId="19" fillId="0" borderId="0">
      <alignment vertical="top"/>
    </xf>
    <xf numFmtId="0" fontId="47" fillId="0" borderId="0">
      <protection locked="0"/>
    </xf>
    <xf numFmtId="0" fontId="47" fillId="0" borderId="0">
      <protection locked="0"/>
    </xf>
    <xf numFmtId="176" fontId="47" fillId="0" borderId="0">
      <protection locked="0"/>
    </xf>
    <xf numFmtId="0" fontId="47" fillId="0" borderId="0">
      <protection locked="0"/>
    </xf>
    <xf numFmtId="0" fontId="47" fillId="0" borderId="0">
      <protection locked="0"/>
    </xf>
    <xf numFmtId="0" fontId="47" fillId="0" borderId="0">
      <protection locked="0"/>
    </xf>
    <xf numFmtId="176" fontId="47" fillId="0" borderId="0">
      <protection locked="0"/>
    </xf>
    <xf numFmtId="0" fontId="47" fillId="0" borderId="0">
      <protection locked="0"/>
    </xf>
    <xf numFmtId="0" fontId="18" fillId="0" borderId="0" applyNumberFormat="0" applyFill="0" applyBorder="0" applyProtection="0">
      <alignment horizontal="left"/>
    </xf>
    <xf numFmtId="177" fontId="48" fillId="0" borderId="0">
      <protection locked="0"/>
    </xf>
    <xf numFmtId="178" fontId="43" fillId="0" borderId="0" applyFont="0" applyFill="0" applyBorder="0" applyAlignment="0" applyProtection="0"/>
    <xf numFmtId="177" fontId="48" fillId="0" borderId="0">
      <protection locked="0"/>
    </xf>
    <xf numFmtId="177" fontId="48" fillId="0" borderId="0">
      <protection locked="0"/>
    </xf>
    <xf numFmtId="0" fontId="18" fillId="0" borderId="0">
      <protection locked="0"/>
    </xf>
    <xf numFmtId="179" fontId="18" fillId="0" borderId="0">
      <protection locked="0"/>
    </xf>
    <xf numFmtId="179" fontId="18" fillId="0" borderId="0">
      <protection locked="0"/>
    </xf>
    <xf numFmtId="179" fontId="18" fillId="0" borderId="0">
      <protection locked="0"/>
    </xf>
    <xf numFmtId="179" fontId="18" fillId="0" borderId="0">
      <protection locked="0"/>
    </xf>
    <xf numFmtId="180" fontId="48" fillId="0" borderId="0">
      <protection locked="0"/>
    </xf>
    <xf numFmtId="181" fontId="43" fillId="0" borderId="0" applyFont="0" applyFill="0" applyBorder="0" applyAlignment="0" applyProtection="0"/>
    <xf numFmtId="180" fontId="48" fillId="0" borderId="0">
      <protection locked="0"/>
    </xf>
    <xf numFmtId="180" fontId="48" fillId="0" borderId="0">
      <protection locked="0"/>
    </xf>
    <xf numFmtId="0" fontId="18" fillId="0" borderId="0">
      <protection locked="0"/>
    </xf>
    <xf numFmtId="182" fontId="18" fillId="0" borderId="0">
      <protection locked="0"/>
    </xf>
    <xf numFmtId="182" fontId="18" fillId="0" borderId="0">
      <protection locked="0"/>
    </xf>
    <xf numFmtId="182" fontId="18" fillId="0" borderId="0">
      <protection locked="0"/>
    </xf>
    <xf numFmtId="182" fontId="18" fillId="0" borderId="0">
      <protection locked="0"/>
    </xf>
    <xf numFmtId="0" fontId="48" fillId="0" borderId="0">
      <protection locked="0"/>
    </xf>
    <xf numFmtId="0" fontId="48" fillId="0" borderId="0">
      <protection locked="0"/>
    </xf>
    <xf numFmtId="176" fontId="48" fillId="0" borderId="0">
      <protection locked="0"/>
    </xf>
    <xf numFmtId="0" fontId="48" fillId="0" borderId="0">
      <protection locked="0"/>
    </xf>
    <xf numFmtId="168"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0" fontId="18" fillId="0" borderId="0" applyFont="0" applyFill="0" applyBorder="0" applyAlignment="0" applyProtection="0"/>
    <xf numFmtId="183" fontId="48" fillId="0" borderId="0">
      <protection locked="0"/>
    </xf>
    <xf numFmtId="183" fontId="48" fillId="0" borderId="0">
      <protection locked="0"/>
    </xf>
    <xf numFmtId="183" fontId="48" fillId="0" borderId="0">
      <protection locked="0"/>
    </xf>
    <xf numFmtId="183" fontId="47" fillId="0" borderId="0">
      <protection locked="0"/>
    </xf>
    <xf numFmtId="183" fontId="49" fillId="0" borderId="0">
      <protection locked="0"/>
    </xf>
    <xf numFmtId="183" fontId="47" fillId="0" borderId="0">
      <protection locked="0"/>
    </xf>
    <xf numFmtId="183" fontId="49" fillId="0" borderId="0">
      <protection locked="0"/>
    </xf>
    <xf numFmtId="0" fontId="48" fillId="0" borderId="0">
      <protection locked="0"/>
    </xf>
    <xf numFmtId="0" fontId="48" fillId="0" borderId="0">
      <protection locked="0"/>
    </xf>
    <xf numFmtId="176" fontId="48" fillId="0" borderId="0">
      <protection locked="0"/>
    </xf>
    <xf numFmtId="0" fontId="48" fillId="0" borderId="0">
      <protection locked="0"/>
    </xf>
    <xf numFmtId="0" fontId="50" fillId="0" borderId="0"/>
    <xf numFmtId="176" fontId="50" fillId="0" borderId="0"/>
    <xf numFmtId="184" fontId="18" fillId="0" borderId="0">
      <protection locked="0"/>
    </xf>
    <xf numFmtId="184" fontId="18" fillId="0" borderId="0">
      <protection locked="0"/>
    </xf>
    <xf numFmtId="184" fontId="18" fillId="0" borderId="0">
      <protection locked="0"/>
    </xf>
    <xf numFmtId="184" fontId="18" fillId="0" borderId="0">
      <protection locked="0"/>
    </xf>
    <xf numFmtId="184" fontId="18" fillId="0" borderId="0">
      <protection locked="0"/>
    </xf>
    <xf numFmtId="184" fontId="18" fillId="0" borderId="0">
      <protection locked="0"/>
    </xf>
    <xf numFmtId="184" fontId="18" fillId="0" borderId="0">
      <protection locked="0"/>
    </xf>
    <xf numFmtId="184" fontId="18" fillId="0" borderId="0">
      <protection locked="0"/>
    </xf>
    <xf numFmtId="0" fontId="48" fillId="0" borderId="0">
      <protection locked="0"/>
    </xf>
    <xf numFmtId="0" fontId="48" fillId="0" borderId="0">
      <protection locked="0"/>
    </xf>
    <xf numFmtId="176" fontId="48" fillId="0" borderId="0">
      <protection locked="0"/>
    </xf>
    <xf numFmtId="0" fontId="48" fillId="0" borderId="0">
      <protection locked="0"/>
    </xf>
    <xf numFmtId="0" fontId="47" fillId="0" borderId="0">
      <protection locked="0"/>
    </xf>
    <xf numFmtId="0" fontId="47" fillId="0" borderId="0">
      <protection locked="0"/>
    </xf>
    <xf numFmtId="176" fontId="47" fillId="0" borderId="0">
      <protection locked="0"/>
    </xf>
    <xf numFmtId="0" fontId="47" fillId="0" borderId="0">
      <protection locked="0"/>
    </xf>
    <xf numFmtId="0" fontId="47" fillId="0" borderId="0">
      <protection locked="0"/>
    </xf>
    <xf numFmtId="0" fontId="47" fillId="0" borderId="0">
      <protection locked="0"/>
    </xf>
    <xf numFmtId="176" fontId="47" fillId="0" borderId="0">
      <protection locked="0"/>
    </xf>
    <xf numFmtId="0" fontId="47" fillId="0" borderId="0">
      <protection locked="0"/>
    </xf>
    <xf numFmtId="0" fontId="47" fillId="0" borderId="0">
      <protection locked="0"/>
    </xf>
    <xf numFmtId="0" fontId="47" fillId="0" borderId="0">
      <protection locked="0"/>
    </xf>
    <xf numFmtId="176" fontId="47" fillId="0" borderId="0">
      <protection locked="0"/>
    </xf>
    <xf numFmtId="0" fontId="47" fillId="0" borderId="0">
      <protection locked="0"/>
    </xf>
    <xf numFmtId="0" fontId="18" fillId="0" borderId="0" applyFont="0" applyFill="0" applyBorder="0" applyAlignment="0" applyProtection="0"/>
    <xf numFmtId="0" fontId="50" fillId="0" borderId="0"/>
    <xf numFmtId="176" fontId="50" fillId="0" borderId="0"/>
    <xf numFmtId="0" fontId="50" fillId="0" borderId="0"/>
    <xf numFmtId="176" fontId="50" fillId="0" borderId="0"/>
    <xf numFmtId="185" fontId="18" fillId="0" borderId="0">
      <protection locked="0"/>
    </xf>
    <xf numFmtId="185" fontId="18" fillId="0" borderId="0">
      <protection locked="0"/>
    </xf>
    <xf numFmtId="185" fontId="18" fillId="0" borderId="0">
      <protection locked="0"/>
    </xf>
    <xf numFmtId="185" fontId="18" fillId="0" borderId="0">
      <protection locked="0"/>
    </xf>
    <xf numFmtId="186" fontId="18" fillId="0" borderId="0">
      <protection locked="0"/>
    </xf>
    <xf numFmtId="186" fontId="18" fillId="0" borderId="0">
      <protection locked="0"/>
    </xf>
    <xf numFmtId="186" fontId="18" fillId="0" borderId="0">
      <protection locked="0"/>
    </xf>
    <xf numFmtId="186" fontId="18" fillId="0" borderId="0">
      <protection locked="0"/>
    </xf>
    <xf numFmtId="0" fontId="18" fillId="0" borderId="0"/>
    <xf numFmtId="187" fontId="48" fillId="0" borderId="0">
      <protection locked="0"/>
    </xf>
    <xf numFmtId="187" fontId="48" fillId="0" borderId="0">
      <protection locked="0"/>
    </xf>
    <xf numFmtId="187" fontId="48" fillId="0" borderId="0">
      <protection locked="0"/>
    </xf>
    <xf numFmtId="187" fontId="48" fillId="0" borderId="0">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Protection="0">
      <alignment horizontal="left"/>
    </xf>
    <xf numFmtId="0" fontId="18" fillId="0" borderId="0" applyNumberFormat="0" applyFill="0" applyBorder="0" applyAlignment="0" applyProtection="0"/>
    <xf numFmtId="0" fontId="51" fillId="0" borderId="29"/>
    <xf numFmtId="176" fontId="51" fillId="0" borderId="29"/>
    <xf numFmtId="188" fontId="18" fillId="0" borderId="0">
      <protection locked="0"/>
    </xf>
    <xf numFmtId="188" fontId="18" fillId="0" borderId="0">
      <protection locked="0"/>
    </xf>
    <xf numFmtId="188" fontId="18" fillId="0" borderId="0">
      <protection locked="0"/>
    </xf>
    <xf numFmtId="9" fontId="18" fillId="0" borderId="0" applyFont="0" applyFill="0" applyBorder="0" applyAlignment="0" applyProtection="0"/>
    <xf numFmtId="9" fontId="18" fillId="0" borderId="0" applyFont="0" applyFill="0" applyBorder="0" applyAlignment="0" applyProtection="0"/>
    <xf numFmtId="0" fontId="48" fillId="0" borderId="0">
      <protection locked="0"/>
    </xf>
    <xf numFmtId="0" fontId="48" fillId="0" borderId="0">
      <protection locked="0"/>
    </xf>
    <xf numFmtId="176" fontId="48" fillId="0" borderId="0">
      <protection locked="0"/>
    </xf>
    <xf numFmtId="0" fontId="48" fillId="0" borderId="0">
      <protection locked="0"/>
    </xf>
    <xf numFmtId="5" fontId="52" fillId="0" borderId="0">
      <protection locked="0"/>
    </xf>
    <xf numFmtId="0" fontId="50" fillId="0" borderId="0"/>
    <xf numFmtId="176" fontId="50" fillId="0" borderId="0"/>
    <xf numFmtId="39" fontId="43" fillId="0" borderId="30" applyFill="0">
      <alignment horizontal="left"/>
    </xf>
    <xf numFmtId="39" fontId="43" fillId="0" borderId="30" applyFill="0">
      <alignment horizontal="left"/>
    </xf>
    <xf numFmtId="39" fontId="43" fillId="0" borderId="30" applyFill="0">
      <alignment horizontal="left"/>
    </xf>
    <xf numFmtId="39" fontId="43" fillId="0" borderId="30" applyFill="0">
      <alignment horizontal="left"/>
    </xf>
    <xf numFmtId="0" fontId="18" fillId="0" borderId="0" applyNumberFormat="0"/>
    <xf numFmtId="0" fontId="18" fillId="0" borderId="0" applyNumberFormat="0"/>
    <xf numFmtId="176" fontId="18" fillId="0" borderId="0" applyNumberFormat="0"/>
    <xf numFmtId="0" fontId="18" fillId="0" borderId="0" applyNumberFormat="0"/>
    <xf numFmtId="0" fontId="48" fillId="0" borderId="31">
      <protection locked="0"/>
    </xf>
    <xf numFmtId="176" fontId="48" fillId="0" borderId="31">
      <protection locked="0"/>
    </xf>
    <xf numFmtId="0" fontId="44" fillId="0" borderId="0" applyProtection="0"/>
    <xf numFmtId="0" fontId="44" fillId="0" borderId="0" applyProtection="0"/>
    <xf numFmtId="176" fontId="44" fillId="0" borderId="0" applyProtection="0"/>
    <xf numFmtId="0" fontId="44" fillId="0" borderId="0" applyProtection="0"/>
    <xf numFmtId="175" fontId="44" fillId="0" borderId="0" applyProtection="0"/>
    <xf numFmtId="0" fontId="45" fillId="0" borderId="0" applyProtection="0"/>
    <xf numFmtId="0" fontId="45" fillId="0" borderId="0" applyProtection="0"/>
    <xf numFmtId="176" fontId="45" fillId="0" borderId="0" applyProtection="0"/>
    <xf numFmtId="0" fontId="45" fillId="0" borderId="0" applyProtection="0"/>
    <xf numFmtId="0" fontId="46" fillId="0" borderId="0" applyProtection="0"/>
    <xf numFmtId="0" fontId="46" fillId="0" borderId="0" applyProtection="0"/>
    <xf numFmtId="176" fontId="46" fillId="0" borderId="0" applyProtection="0"/>
    <xf numFmtId="0" fontId="46" fillId="0" borderId="0" applyProtection="0"/>
    <xf numFmtId="0" fontId="44" fillId="0" borderId="28" applyProtection="0"/>
    <xf numFmtId="0" fontId="44" fillId="0" borderId="28" applyProtection="0"/>
    <xf numFmtId="176" fontId="44" fillId="0" borderId="28" applyProtection="0"/>
    <xf numFmtId="0" fontId="44" fillId="0" borderId="28" applyProtection="0"/>
    <xf numFmtId="0" fontId="44" fillId="0" borderId="0"/>
    <xf numFmtId="10" fontId="44" fillId="0" borderId="0" applyProtection="0"/>
    <xf numFmtId="0" fontId="44" fillId="0" borderId="0"/>
    <xf numFmtId="0" fontId="44" fillId="0" borderId="0"/>
    <xf numFmtId="176" fontId="44" fillId="0" borderId="0"/>
    <xf numFmtId="0" fontId="44" fillId="0" borderId="0"/>
    <xf numFmtId="2" fontId="44" fillId="0" borderId="0" applyProtection="0"/>
    <xf numFmtId="2" fontId="44" fillId="0" borderId="0" applyProtection="0"/>
    <xf numFmtId="2" fontId="44" fillId="0" borderId="0" applyProtection="0"/>
    <xf numFmtId="2" fontId="44" fillId="0" borderId="0" applyProtection="0"/>
    <xf numFmtId="4" fontId="44" fillId="0" borderId="0" applyProtection="0"/>
    <xf numFmtId="165" fontId="18" fillId="0" borderId="0" applyFont="0" applyFill="0" applyBorder="0" applyAlignment="0" applyProtection="0"/>
  </cellStyleXfs>
  <cellXfs count="222">
    <xf numFmtId="0" fontId="0" fillId="0" borderId="0" xfId="0"/>
    <xf numFmtId="0" fontId="20" fillId="0" borderId="0" xfId="0" applyFont="1"/>
    <xf numFmtId="0" fontId="20" fillId="0" borderId="0" xfId="0" applyFont="1" applyAlignment="1">
      <alignment wrapText="1"/>
    </xf>
    <xf numFmtId="166" fontId="20" fillId="0" borderId="0" xfId="1" applyNumberFormat="1" applyFont="1"/>
    <xf numFmtId="0" fontId="25" fillId="34" borderId="10" xfId="0" applyFont="1" applyFill="1" applyBorder="1" applyProtection="1"/>
    <xf numFmtId="0" fontId="25" fillId="34" borderId="10" xfId="0" applyFont="1" applyFill="1" applyBorder="1" applyAlignment="1" applyProtection="1">
      <alignment wrapText="1"/>
    </xf>
    <xf numFmtId="0" fontId="23" fillId="35" borderId="10" xfId="0" applyFont="1" applyFill="1" applyBorder="1" applyProtection="1"/>
    <xf numFmtId="0" fontId="23" fillId="35" borderId="10" xfId="0" applyFont="1" applyFill="1" applyBorder="1" applyAlignment="1" applyProtection="1">
      <alignment wrapText="1"/>
    </xf>
    <xf numFmtId="0" fontId="23" fillId="0" borderId="10" xfId="0" applyFont="1" applyBorder="1" applyProtection="1"/>
    <xf numFmtId="0" fontId="23" fillId="0" borderId="10" xfId="0" applyFont="1" applyBorder="1" applyAlignment="1" applyProtection="1">
      <alignment wrapText="1"/>
    </xf>
    <xf numFmtId="0" fontId="20" fillId="0" borderId="10" xfId="46" applyFont="1" applyFill="1" applyBorder="1" applyAlignment="1" applyProtection="1"/>
    <xf numFmtId="0" fontId="20" fillId="0" borderId="10" xfId="46" applyFont="1" applyFill="1" applyBorder="1" applyAlignment="1" applyProtection="1">
      <alignment wrapText="1"/>
    </xf>
    <xf numFmtId="0" fontId="20" fillId="0" borderId="10" xfId="46" applyFont="1" applyFill="1" applyBorder="1" applyAlignment="1" applyProtection="1">
      <alignment horizontal="left" wrapText="1"/>
    </xf>
    <xf numFmtId="0" fontId="23" fillId="0" borderId="10" xfId="0" applyFont="1" applyFill="1" applyBorder="1" applyProtection="1"/>
    <xf numFmtId="0" fontId="23" fillId="0" borderId="10" xfId="0" applyFont="1" applyFill="1" applyBorder="1" applyAlignment="1" applyProtection="1">
      <alignment wrapText="1"/>
    </xf>
    <xf numFmtId="0" fontId="24" fillId="0" borderId="10" xfId="0" applyFont="1" applyFill="1" applyBorder="1" applyProtection="1"/>
    <xf numFmtId="0" fontId="24" fillId="0" borderId="10" xfId="0" applyFont="1" applyFill="1" applyBorder="1" applyAlignment="1" applyProtection="1">
      <alignment wrapText="1"/>
    </xf>
    <xf numFmtId="0" fontId="25" fillId="36" borderId="10" xfId="0" applyFont="1" applyFill="1" applyBorder="1" applyAlignment="1" applyProtection="1">
      <alignment vertical="center"/>
    </xf>
    <xf numFmtId="0" fontId="25" fillId="36" borderId="10" xfId="0" applyFont="1" applyFill="1" applyBorder="1" applyAlignment="1" applyProtection="1">
      <alignment horizontal="left" vertical="center" wrapText="1"/>
    </xf>
    <xf numFmtId="0" fontId="25" fillId="36" borderId="12" xfId="0" applyFont="1" applyFill="1" applyBorder="1" applyAlignment="1" applyProtection="1">
      <alignment horizontal="left" vertical="center" wrapText="1"/>
    </xf>
    <xf numFmtId="0" fontId="25" fillId="36" borderId="10" xfId="0" applyFont="1" applyFill="1" applyBorder="1" applyProtection="1"/>
    <xf numFmtId="0" fontId="25" fillId="36" borderId="10" xfId="0" applyFont="1" applyFill="1" applyBorder="1" applyAlignment="1" applyProtection="1">
      <alignment horizontal="left" wrapText="1"/>
    </xf>
    <xf numFmtId="0" fontId="23" fillId="35" borderId="13" xfId="0" applyFont="1" applyFill="1" applyBorder="1" applyProtection="1"/>
    <xf numFmtId="0" fontId="23" fillId="35" borderId="13" xfId="0" applyFont="1" applyFill="1" applyBorder="1" applyAlignment="1" applyProtection="1">
      <alignment wrapText="1"/>
    </xf>
    <xf numFmtId="0" fontId="25" fillId="34" borderId="15" xfId="0" applyFont="1" applyFill="1" applyBorder="1" applyProtection="1"/>
    <xf numFmtId="0" fontId="25" fillId="34" borderId="15" xfId="0" applyFont="1" applyFill="1" applyBorder="1" applyAlignment="1" applyProtection="1">
      <alignment wrapText="1"/>
    </xf>
    <xf numFmtId="0" fontId="21" fillId="33" borderId="17" xfId="0" applyFont="1" applyFill="1" applyBorder="1" applyAlignment="1" applyProtection="1">
      <alignment horizontal="center" vertical="center" wrapText="1"/>
    </xf>
    <xf numFmtId="0" fontId="22" fillId="33" borderId="17" xfId="1" applyNumberFormat="1" applyFont="1" applyFill="1" applyBorder="1" applyAlignment="1">
      <alignment horizontal="center" wrapText="1"/>
    </xf>
    <xf numFmtId="0" fontId="18" fillId="37" borderId="0" xfId="48" applyFill="1" applyProtection="1"/>
    <xf numFmtId="0" fontId="18" fillId="0" borderId="0" xfId="48" applyFill="1" applyProtection="1"/>
    <xf numFmtId="0" fontId="18" fillId="37" borderId="0" xfId="48" applyFill="1" applyAlignment="1" applyProtection="1">
      <alignment vertical="center"/>
    </xf>
    <xf numFmtId="0" fontId="18" fillId="37" borderId="0" xfId="48" applyFill="1" applyAlignment="1" applyProtection="1">
      <alignment vertical="center"/>
      <protection locked="0"/>
    </xf>
    <xf numFmtId="0" fontId="18" fillId="37" borderId="0" xfId="48" applyFill="1" applyProtection="1">
      <protection locked="0"/>
    </xf>
    <xf numFmtId="0" fontId="18" fillId="0" borderId="0" xfId="49"/>
    <xf numFmtId="3" fontId="18" fillId="0" borderId="0" xfId="49" applyNumberFormat="1"/>
    <xf numFmtId="0" fontId="27" fillId="0" borderId="0" xfId="49" quotePrefix="1" applyFont="1" applyAlignment="1">
      <alignment horizontal="left"/>
    </xf>
    <xf numFmtId="1" fontId="18" fillId="0" borderId="0" xfId="49" applyNumberFormat="1"/>
    <xf numFmtId="167" fontId="18" fillId="0" borderId="0" xfId="51" applyNumberFormat="1"/>
    <xf numFmtId="168" fontId="18" fillId="0" borderId="0" xfId="51" applyNumberFormat="1"/>
    <xf numFmtId="0" fontId="27" fillId="0" borderId="0" xfId="49" applyFont="1"/>
    <xf numFmtId="173" fontId="18" fillId="0" borderId="0" xfId="49" applyNumberFormat="1"/>
    <xf numFmtId="0" fontId="30" fillId="0" borderId="0" xfId="49" applyFont="1" applyFill="1" applyBorder="1" applyProtection="1">
      <protection hidden="1"/>
    </xf>
    <xf numFmtId="0" fontId="29" fillId="0" borderId="0" xfId="49" applyFont="1" applyFill="1" applyBorder="1" applyProtection="1">
      <protection hidden="1"/>
    </xf>
    <xf numFmtId="0" fontId="30" fillId="0" borderId="0" xfId="49" applyFont="1"/>
    <xf numFmtId="0" fontId="31" fillId="38" borderId="18" xfId="54" applyFont="1" applyFill="1" applyBorder="1" applyAlignment="1" applyProtection="1">
      <alignment horizontal="center"/>
      <protection hidden="1"/>
    </xf>
    <xf numFmtId="0" fontId="31" fillId="39" borderId="18" xfId="54" applyFont="1" applyFill="1" applyBorder="1" applyAlignment="1" applyProtection="1">
      <protection hidden="1"/>
    </xf>
    <xf numFmtId="0" fontId="32" fillId="40" borderId="18" xfId="54" applyFont="1" applyFill="1" applyBorder="1" applyAlignment="1" applyProtection="1">
      <protection hidden="1"/>
    </xf>
    <xf numFmtId="0" fontId="32" fillId="40" borderId="18" xfId="54" quotePrefix="1" applyFont="1" applyFill="1" applyBorder="1" applyAlignment="1" applyProtection="1">
      <alignment horizontal="left"/>
      <protection hidden="1"/>
    </xf>
    <xf numFmtId="0" fontId="32" fillId="40" borderId="18" xfId="54" applyFont="1" applyFill="1" applyBorder="1" applyAlignment="1" applyProtection="1">
      <alignment horizontal="left"/>
      <protection hidden="1"/>
    </xf>
    <xf numFmtId="0" fontId="32" fillId="39" borderId="18" xfId="54" quotePrefix="1" applyFont="1" applyFill="1" applyBorder="1" applyAlignment="1" applyProtection="1">
      <alignment horizontal="left"/>
      <protection hidden="1"/>
    </xf>
    <xf numFmtId="0" fontId="32" fillId="40" borderId="0" xfId="54" quotePrefix="1" applyFont="1" applyFill="1" applyBorder="1" applyAlignment="1" applyProtection="1">
      <alignment horizontal="left"/>
      <protection hidden="1"/>
    </xf>
    <xf numFmtId="0" fontId="32" fillId="40" borderId="0" xfId="54" applyFont="1" applyFill="1" applyBorder="1" applyAlignment="1" applyProtection="1">
      <alignment horizontal="left"/>
      <protection hidden="1"/>
    </xf>
    <xf numFmtId="167" fontId="29" fillId="41" borderId="0" xfId="51" applyNumberFormat="1" applyFont="1" applyFill="1" applyBorder="1"/>
    <xf numFmtId="0" fontId="30" fillId="41" borderId="0" xfId="49" applyFont="1" applyFill="1"/>
    <xf numFmtId="0" fontId="30" fillId="41" borderId="18" xfId="0" quotePrefix="1" applyFont="1" applyFill="1" applyBorder="1" applyAlignment="1" applyProtection="1">
      <alignment horizontal="left"/>
    </xf>
    <xf numFmtId="0" fontId="30" fillId="0" borderId="0" xfId="0" applyFont="1" applyProtection="1">
      <protection locked="0"/>
    </xf>
    <xf numFmtId="0" fontId="30" fillId="0" borderId="0" xfId="49" applyFont="1" applyFill="1" applyBorder="1"/>
    <xf numFmtId="0" fontId="29" fillId="0" borderId="0" xfId="49" applyFont="1" applyFill="1" applyBorder="1"/>
    <xf numFmtId="0" fontId="24" fillId="0" borderId="0" xfId="49" applyFont="1" applyAlignment="1">
      <alignment wrapText="1"/>
    </xf>
    <xf numFmtId="0" fontId="33" fillId="0" borderId="0" xfId="0" applyFont="1"/>
    <xf numFmtId="0" fontId="24" fillId="0" borderId="0" xfId="49" applyFont="1"/>
    <xf numFmtId="0" fontId="33" fillId="0" borderId="0" xfId="0" applyFont="1" applyFill="1"/>
    <xf numFmtId="0" fontId="37" fillId="33" borderId="24" xfId="0" applyFont="1" applyFill="1" applyBorder="1" applyAlignment="1" applyProtection="1">
      <alignment horizontal="center" vertical="center" wrapText="1"/>
    </xf>
    <xf numFmtId="0" fontId="21" fillId="33" borderId="24" xfId="0" applyFont="1" applyFill="1" applyBorder="1" applyAlignment="1" applyProtection="1">
      <alignment horizontal="center" vertical="center" wrapText="1"/>
    </xf>
    <xf numFmtId="0" fontId="25" fillId="34" borderId="18" xfId="0" applyFont="1" applyFill="1" applyBorder="1" applyProtection="1"/>
    <xf numFmtId="171" fontId="32" fillId="0" borderId="18" xfId="49" quotePrefix="1" applyNumberFormat="1" applyFont="1" applyFill="1" applyBorder="1" applyAlignment="1" applyProtection="1">
      <alignment horizontal="center"/>
    </xf>
    <xf numFmtId="1" fontId="32" fillId="0" borderId="18" xfId="49" quotePrefix="1" applyNumberFormat="1" applyFont="1" applyFill="1" applyBorder="1" applyAlignment="1" applyProtection="1">
      <alignment horizontal="center"/>
    </xf>
    <xf numFmtId="171" fontId="32" fillId="0" borderId="18" xfId="49" applyNumberFormat="1" applyFont="1" applyFill="1" applyBorder="1" applyAlignment="1" applyProtection="1">
      <alignment horizontal="center"/>
    </xf>
    <xf numFmtId="0" fontId="30" fillId="0" borderId="18" xfId="49" applyFont="1" applyFill="1" applyBorder="1" applyAlignment="1" applyProtection="1">
      <alignment horizontal="center"/>
    </xf>
    <xf numFmtId="0" fontId="25" fillId="33" borderId="24" xfId="0" applyFont="1" applyFill="1" applyBorder="1" applyAlignment="1" applyProtection="1">
      <alignment horizontal="center" vertical="center" wrapText="1"/>
    </xf>
    <xf numFmtId="0" fontId="24" fillId="0" borderId="18" xfId="49" quotePrefix="1" applyFont="1" applyFill="1" applyBorder="1" applyAlignment="1" applyProtection="1">
      <alignment horizontal="left" wrapText="1"/>
    </xf>
    <xf numFmtId="0" fontId="20" fillId="0" borderId="18" xfId="49" quotePrefix="1" applyFont="1" applyFill="1" applyBorder="1" applyAlignment="1" applyProtection="1">
      <alignment horizontal="left" wrapText="1"/>
    </xf>
    <xf numFmtId="1" fontId="20" fillId="0" borderId="18" xfId="49" quotePrefix="1" applyNumberFormat="1" applyFont="1" applyFill="1" applyBorder="1" applyAlignment="1" applyProtection="1">
      <alignment horizontal="left" wrapText="1"/>
    </xf>
    <xf numFmtId="1" fontId="20" fillId="0" borderId="18" xfId="49" applyNumberFormat="1" applyFont="1" applyFill="1" applyBorder="1" applyAlignment="1" applyProtection="1">
      <alignment horizontal="left" wrapText="1"/>
    </xf>
    <xf numFmtId="0" fontId="30" fillId="0" borderId="18" xfId="49" quotePrefix="1" applyFont="1" applyFill="1" applyBorder="1" applyAlignment="1" applyProtection="1">
      <alignment horizontal="center"/>
    </xf>
    <xf numFmtId="0" fontId="25" fillId="34" borderId="18" xfId="0" applyFont="1" applyFill="1" applyBorder="1" applyAlignment="1" applyProtection="1">
      <alignment horizontal="center"/>
    </xf>
    <xf numFmtId="0" fontId="23" fillId="35" borderId="18" xfId="0" applyFont="1" applyFill="1" applyBorder="1" applyAlignment="1" applyProtection="1">
      <alignment horizontal="center"/>
    </xf>
    <xf numFmtId="0" fontId="33" fillId="0" borderId="0" xfId="0" applyFont="1" applyAlignment="1">
      <alignment horizontal="center"/>
    </xf>
    <xf numFmtId="0" fontId="29" fillId="35" borderId="18" xfId="0" applyFont="1" applyFill="1" applyBorder="1" applyProtection="1"/>
    <xf numFmtId="0" fontId="29" fillId="35" borderId="18" xfId="0" quotePrefix="1" applyFont="1" applyFill="1" applyBorder="1" applyAlignment="1" applyProtection="1">
      <alignment horizontal="left"/>
    </xf>
    <xf numFmtId="174" fontId="25" fillId="34" borderId="18" xfId="47" applyNumberFormat="1" applyFont="1" applyFill="1" applyBorder="1" applyAlignment="1" applyProtection="1">
      <alignment horizontal="center"/>
    </xf>
    <xf numFmtId="170" fontId="25" fillId="34" borderId="15" xfId="1" applyNumberFormat="1" applyFont="1" applyFill="1" applyBorder="1" applyProtection="1"/>
    <xf numFmtId="170" fontId="23" fillId="35" borderId="10" xfId="1" applyNumberFormat="1" applyFont="1" applyFill="1" applyBorder="1" applyProtection="1"/>
    <xf numFmtId="170" fontId="30" fillId="40" borderId="18" xfId="1" applyNumberFormat="1" applyFont="1" applyFill="1" applyBorder="1" applyAlignment="1" applyProtection="1">
      <alignment horizontal="right"/>
      <protection hidden="1"/>
    </xf>
    <xf numFmtId="170" fontId="29" fillId="40" borderId="18" xfId="1" applyNumberFormat="1" applyFont="1" applyFill="1" applyBorder="1" applyAlignment="1" applyProtection="1">
      <alignment horizontal="right"/>
      <protection hidden="1"/>
    </xf>
    <xf numFmtId="170" fontId="29" fillId="40" borderId="0" xfId="1" applyNumberFormat="1" applyFont="1" applyFill="1" applyBorder="1" applyAlignment="1" applyProtection="1">
      <alignment horizontal="right"/>
      <protection hidden="1"/>
    </xf>
    <xf numFmtId="170" fontId="30" fillId="41" borderId="18" xfId="1" applyNumberFormat="1" applyFont="1" applyFill="1" applyBorder="1" applyProtection="1"/>
    <xf numFmtId="170" fontId="30" fillId="0" borderId="18" xfId="1" applyNumberFormat="1" applyFont="1" applyBorder="1" applyProtection="1">
      <protection locked="0"/>
    </xf>
    <xf numFmtId="170" fontId="30" fillId="0" borderId="0" xfId="1" applyNumberFormat="1" applyFont="1" applyProtection="1">
      <protection locked="0"/>
    </xf>
    <xf numFmtId="170" fontId="30" fillId="0" borderId="0" xfId="1" applyNumberFormat="1" applyFont="1"/>
    <xf numFmtId="0" fontId="30" fillId="0" borderId="18" xfId="0" quotePrefix="1" applyFont="1" applyBorder="1" applyAlignment="1" applyProtection="1">
      <alignment horizontal="left"/>
      <protection locked="0"/>
    </xf>
    <xf numFmtId="0" fontId="25" fillId="34" borderId="15" xfId="1" applyNumberFormat="1" applyFont="1" applyFill="1" applyBorder="1" applyAlignment="1" applyProtection="1">
      <alignment horizontal="center"/>
    </xf>
    <xf numFmtId="0" fontId="24" fillId="0" borderId="0" xfId="49" applyFont="1" applyBorder="1" applyAlignment="1"/>
    <xf numFmtId="0" fontId="30" fillId="0" borderId="18" xfId="49" applyFont="1" applyBorder="1" applyAlignment="1" applyProtection="1">
      <alignment horizontal="left" wrapText="1"/>
    </xf>
    <xf numFmtId="0" fontId="24" fillId="0" borderId="0" xfId="49" quotePrefix="1" applyFont="1" applyBorder="1" applyAlignment="1" applyProtection="1">
      <alignment horizontal="left" wrapText="1"/>
    </xf>
    <xf numFmtId="0" fontId="24" fillId="0" borderId="18" xfId="49" applyFont="1" applyBorder="1" applyAlignment="1">
      <alignment wrapText="1"/>
    </xf>
    <xf numFmtId="0" fontId="25" fillId="34" borderId="18" xfId="0" applyFont="1" applyFill="1" applyBorder="1" applyAlignment="1" applyProtection="1">
      <alignment horizontal="center" wrapText="1"/>
    </xf>
    <xf numFmtId="0" fontId="38" fillId="0" borderId="0" xfId="49" quotePrefix="1" applyFont="1" applyBorder="1" applyAlignment="1">
      <alignment horizontal="left"/>
    </xf>
    <xf numFmtId="0" fontId="23" fillId="0" borderId="0" xfId="49" applyFont="1" applyProtection="1"/>
    <xf numFmtId="167" fontId="24" fillId="0" borderId="0" xfId="49" applyNumberFormat="1" applyFont="1" applyProtection="1"/>
    <xf numFmtId="0" fontId="24" fillId="0" borderId="0" xfId="49" applyFont="1" applyProtection="1"/>
    <xf numFmtId="0" fontId="24" fillId="0" borderId="0" xfId="49" applyFont="1" applyFill="1" applyBorder="1" applyProtection="1"/>
    <xf numFmtId="0" fontId="24" fillId="0" borderId="0" xfId="49" applyFont="1" applyFill="1" applyProtection="1"/>
    <xf numFmtId="168" fontId="24" fillId="0" borderId="0" xfId="49" applyNumberFormat="1" applyFont="1" applyProtection="1"/>
    <xf numFmtId="168" fontId="23" fillId="0" borderId="0" xfId="49" applyNumberFormat="1" applyFont="1" applyProtection="1"/>
    <xf numFmtId="169" fontId="24" fillId="0" borderId="0" xfId="50" applyNumberFormat="1" applyFont="1" applyAlignment="1" applyProtection="1">
      <alignment horizontal="right"/>
    </xf>
    <xf numFmtId="4" fontId="24" fillId="0" borderId="0" xfId="49" applyNumberFormat="1" applyFont="1" applyProtection="1"/>
    <xf numFmtId="167" fontId="23" fillId="0" borderId="0" xfId="49" applyNumberFormat="1" applyFont="1" applyProtection="1"/>
    <xf numFmtId="1" fontId="24" fillId="0" borderId="21" xfId="49" applyNumberFormat="1" applyFont="1" applyBorder="1" applyProtection="1"/>
    <xf numFmtId="170" fontId="24" fillId="0" borderId="18" xfId="1" quotePrefix="1" applyNumberFormat="1" applyFont="1" applyBorder="1" applyProtection="1">
      <protection locked="0"/>
    </xf>
    <xf numFmtId="173" fontId="24" fillId="0" borderId="0" xfId="49" applyNumberFormat="1" applyFont="1" applyFill="1" applyBorder="1" applyProtection="1"/>
    <xf numFmtId="1" fontId="24" fillId="0" borderId="21" xfId="49" quotePrefix="1" applyNumberFormat="1" applyFont="1" applyBorder="1" applyAlignment="1" applyProtection="1">
      <alignment horizontal="left"/>
    </xf>
    <xf numFmtId="9" fontId="24" fillId="0" borderId="0" xfId="52" applyFont="1" applyFill="1" applyBorder="1" applyProtection="1"/>
    <xf numFmtId="1" fontId="24" fillId="0" borderId="21" xfId="49" applyNumberFormat="1" applyFont="1" applyFill="1" applyBorder="1" applyProtection="1"/>
    <xf numFmtId="170" fontId="24" fillId="0" borderId="18" xfId="1" applyNumberFormat="1" applyFont="1" applyFill="1" applyBorder="1" applyProtection="1">
      <protection locked="0"/>
    </xf>
    <xf numFmtId="172" fontId="24" fillId="0" borderId="0" xfId="49" applyNumberFormat="1" applyFont="1" applyFill="1" applyBorder="1" applyProtection="1"/>
    <xf numFmtId="0" fontId="24" fillId="0" borderId="21" xfId="49" quotePrefix="1" applyFont="1" applyBorder="1" applyAlignment="1" applyProtection="1">
      <alignment horizontal="left"/>
    </xf>
    <xf numFmtId="0" fontId="24" fillId="0" borderId="0" xfId="49" applyFont="1" applyBorder="1" applyProtection="1"/>
    <xf numFmtId="167" fontId="24" fillId="0" borderId="0" xfId="51" applyNumberFormat="1" applyFont="1" applyBorder="1" applyProtection="1"/>
    <xf numFmtId="172" fontId="24" fillId="0" borderId="0" xfId="49" applyNumberFormat="1" applyFont="1" applyBorder="1" applyProtection="1"/>
    <xf numFmtId="167" fontId="24" fillId="0" borderId="0" xfId="51" applyNumberFormat="1" applyFont="1" applyFill="1" applyBorder="1" applyProtection="1"/>
    <xf numFmtId="0" fontId="39" fillId="0" borderId="0" xfId="53" applyFont="1" applyAlignment="1" applyProtection="1"/>
    <xf numFmtId="167" fontId="24" fillId="0" borderId="0" xfId="51" applyNumberFormat="1" applyFont="1" applyProtection="1"/>
    <xf numFmtId="0" fontId="25" fillId="34" borderId="15" xfId="0" applyFont="1" applyFill="1" applyBorder="1" applyAlignment="1" applyProtection="1">
      <alignment horizontal="center"/>
    </xf>
    <xf numFmtId="0" fontId="40" fillId="33" borderId="17" xfId="0" applyFont="1" applyFill="1" applyBorder="1" applyAlignment="1" applyProtection="1">
      <alignment horizontal="center" vertical="center" wrapText="1"/>
    </xf>
    <xf numFmtId="0" fontId="41" fillId="0" borderId="0" xfId="49" applyFont="1" applyFill="1" applyBorder="1" applyAlignment="1" applyProtection="1">
      <alignment horizontal="center" vertical="center" wrapText="1"/>
    </xf>
    <xf numFmtId="0" fontId="41" fillId="0" borderId="0" xfId="49" applyFont="1" applyFill="1" applyAlignment="1" applyProtection="1">
      <alignment horizontal="center" vertical="center" wrapText="1"/>
    </xf>
    <xf numFmtId="3" fontId="18" fillId="0" borderId="0" xfId="156" applyNumberFormat="1"/>
    <xf numFmtId="0" fontId="18" fillId="0" borderId="0" xfId="156"/>
    <xf numFmtId="0" fontId="27" fillId="0" borderId="0" xfId="156" quotePrefix="1" applyFont="1" applyAlignment="1">
      <alignment horizontal="left"/>
    </xf>
    <xf numFmtId="1" fontId="18" fillId="0" borderId="0" xfId="156" applyNumberFormat="1"/>
    <xf numFmtId="167" fontId="18" fillId="0" borderId="0" xfId="218" applyNumberFormat="1"/>
    <xf numFmtId="168" fontId="18" fillId="0" borderId="0" xfId="218" applyNumberFormat="1"/>
    <xf numFmtId="0" fontId="27" fillId="0" borderId="0" xfId="156" applyFont="1"/>
    <xf numFmtId="173" fontId="18" fillId="0" borderId="0" xfId="156" applyNumberFormat="1"/>
    <xf numFmtId="0" fontId="53" fillId="0" borderId="0" xfId="156" quotePrefix="1" applyFont="1" applyAlignment="1">
      <alignment horizontal="left"/>
    </xf>
    <xf numFmtId="0" fontId="23" fillId="35" borderId="10" xfId="0" applyFont="1" applyFill="1" applyBorder="1" applyAlignment="1" applyProtection="1">
      <alignment horizontal="center" wrapText="1"/>
    </xf>
    <xf numFmtId="0" fontId="25" fillId="34" borderId="15" xfId="0" quotePrefix="1" applyFont="1" applyFill="1" applyBorder="1" applyAlignment="1" applyProtection="1">
      <alignment horizontal="left" wrapText="1"/>
    </xf>
    <xf numFmtId="189" fontId="24" fillId="0" borderId="0" xfId="1" applyNumberFormat="1" applyFont="1" applyProtection="1"/>
    <xf numFmtId="189" fontId="24" fillId="0" borderId="0" xfId="1" applyNumberFormat="1" applyFont="1" applyFill="1" applyBorder="1" applyProtection="1"/>
    <xf numFmtId="189" fontId="23" fillId="0" borderId="0" xfId="1" applyNumberFormat="1" applyFont="1" applyProtection="1"/>
    <xf numFmtId="170" fontId="25" fillId="34" borderId="15" xfId="1" applyNumberFormat="1" applyFont="1" applyFill="1" applyBorder="1" applyProtection="1">
      <protection locked="0"/>
    </xf>
    <xf numFmtId="170" fontId="23" fillId="35" borderId="10" xfId="1" applyNumberFormat="1" applyFont="1" applyFill="1" applyBorder="1" applyAlignment="1" applyProtection="1">
      <alignment wrapText="1"/>
      <protection locked="0"/>
    </xf>
    <xf numFmtId="0" fontId="25" fillId="34" borderId="15" xfId="0" applyFont="1" applyFill="1" applyBorder="1" applyProtection="1">
      <protection locked="0"/>
    </xf>
    <xf numFmtId="0" fontId="38" fillId="0" borderId="19" xfId="49" quotePrefix="1" applyFont="1" applyBorder="1" applyAlignment="1" applyProtection="1">
      <alignment horizontal="left" vertical="center"/>
      <protection hidden="1"/>
    </xf>
    <xf numFmtId="0" fontId="38" fillId="0" borderId="0" xfId="49" quotePrefix="1" applyFont="1" applyBorder="1" applyAlignment="1" applyProtection="1">
      <alignment horizontal="left" vertical="center"/>
      <protection hidden="1"/>
    </xf>
    <xf numFmtId="0" fontId="38" fillId="0" borderId="0" xfId="49" quotePrefix="1" applyFont="1" applyBorder="1" applyAlignment="1" applyProtection="1">
      <alignment horizontal="left" vertical="center"/>
      <protection hidden="1"/>
    </xf>
    <xf numFmtId="0" fontId="25" fillId="34" borderId="15" xfId="0" applyFont="1" applyFill="1" applyBorder="1" applyAlignment="1" applyProtection="1">
      <alignment horizontal="center" wrapText="1"/>
    </xf>
    <xf numFmtId="170" fontId="18" fillId="0" borderId="0" xfId="1" applyNumberFormat="1" applyFont="1"/>
    <xf numFmtId="170" fontId="18" fillId="0" borderId="0" xfId="156" applyNumberFormat="1"/>
    <xf numFmtId="189" fontId="18" fillId="0" borderId="0" xfId="156" applyNumberFormat="1"/>
    <xf numFmtId="3" fontId="20" fillId="0" borderId="11" xfId="1" applyNumberFormat="1" applyFont="1" applyFill="1" applyBorder="1" applyAlignment="1" applyProtection="1"/>
    <xf numFmtId="3" fontId="25" fillId="34" borderId="16" xfId="1" applyNumberFormat="1" applyFont="1" applyFill="1" applyBorder="1" applyProtection="1"/>
    <xf numFmtId="3" fontId="23" fillId="35" borderId="11" xfId="1" applyNumberFormat="1" applyFont="1" applyFill="1" applyBorder="1" applyProtection="1"/>
    <xf numFmtId="3" fontId="25" fillId="34" borderId="11" xfId="1" applyNumberFormat="1" applyFont="1" applyFill="1" applyBorder="1" applyProtection="1"/>
    <xf numFmtId="3" fontId="25" fillId="36" borderId="11" xfId="1" applyNumberFormat="1" applyFont="1" applyFill="1" applyBorder="1" applyAlignment="1" applyProtection="1">
      <alignment vertical="center"/>
    </xf>
    <xf numFmtId="3" fontId="23" fillId="0" borderId="11" xfId="1" applyNumberFormat="1" applyFont="1" applyBorder="1" applyProtection="1"/>
    <xf numFmtId="3" fontId="25" fillId="36" borderId="11" xfId="1" applyNumberFormat="1" applyFont="1" applyFill="1" applyBorder="1" applyProtection="1"/>
    <xf numFmtId="3" fontId="23" fillId="35" borderId="10" xfId="1" applyNumberFormat="1" applyFont="1" applyFill="1" applyBorder="1" applyProtection="1"/>
    <xf numFmtId="3" fontId="23" fillId="35" borderId="14" xfId="1" applyNumberFormat="1" applyFont="1" applyFill="1" applyBorder="1" applyProtection="1"/>
    <xf numFmtId="3" fontId="0" fillId="0" borderId="0" xfId="0" applyNumberFormat="1"/>
    <xf numFmtId="3" fontId="20" fillId="0" borderId="11" xfId="1" applyNumberFormat="1" applyFont="1" applyFill="1" applyBorder="1" applyAlignment="1" applyProtection="1">
      <alignment horizontal="right"/>
    </xf>
    <xf numFmtId="170" fontId="25" fillId="34" borderId="18" xfId="1" applyNumberFormat="1" applyFont="1" applyFill="1" applyBorder="1" applyProtection="1"/>
    <xf numFmtId="170" fontId="34" fillId="0" borderId="18" xfId="1" applyNumberFormat="1" applyFont="1" applyFill="1" applyBorder="1" applyAlignment="1" applyProtection="1">
      <alignment horizontal="right"/>
    </xf>
    <xf numFmtId="170" fontId="34" fillId="0" borderId="18" xfId="1" applyNumberFormat="1" applyFont="1" applyFill="1" applyBorder="1" applyAlignment="1" applyProtection="1">
      <alignment horizontal="right"/>
      <protection locked="0"/>
    </xf>
    <xf numFmtId="170" fontId="36" fillId="0" borderId="18" xfId="1" applyNumberFormat="1" applyFont="1" applyFill="1" applyBorder="1" applyAlignment="1" applyProtection="1">
      <alignment horizontal="right"/>
      <protection locked="0"/>
    </xf>
    <xf numFmtId="170" fontId="35" fillId="0" borderId="18" xfId="1" applyNumberFormat="1" applyFont="1" applyFill="1" applyBorder="1" applyAlignment="1" applyProtection="1">
      <alignment horizontal="right"/>
      <protection locked="0"/>
    </xf>
    <xf numFmtId="3" fontId="25" fillId="34" borderId="18" xfId="0" applyNumberFormat="1" applyFont="1" applyFill="1" applyBorder="1" applyProtection="1"/>
    <xf numFmtId="164" fontId="23" fillId="35" borderId="18" xfId="1" applyFont="1" applyFill="1" applyBorder="1" applyProtection="1"/>
    <xf numFmtId="170" fontId="23" fillId="35" borderId="18" xfId="1" applyNumberFormat="1" applyFont="1" applyFill="1" applyBorder="1" applyProtection="1"/>
    <xf numFmtId="164" fontId="18" fillId="0" borderId="0" xfId="156" applyNumberFormat="1"/>
    <xf numFmtId="0" fontId="18" fillId="0" borderId="18" xfId="156" applyBorder="1" applyAlignment="1">
      <alignment horizontal="center"/>
    </xf>
    <xf numFmtId="170" fontId="18" fillId="0" borderId="18" xfId="1" applyNumberFormat="1" applyFont="1" applyBorder="1"/>
    <xf numFmtId="164" fontId="18" fillId="0" borderId="18" xfId="156" applyNumberFormat="1" applyBorder="1"/>
    <xf numFmtId="0" fontId="21" fillId="33" borderId="18" xfId="0" applyFont="1" applyFill="1" applyBorder="1" applyAlignment="1" applyProtection="1">
      <alignment horizontal="center" vertical="center" wrapText="1"/>
    </xf>
    <xf numFmtId="170" fontId="21" fillId="33" borderId="18" xfId="1" applyNumberFormat="1" applyFont="1" applyFill="1" applyBorder="1" applyAlignment="1" applyProtection="1">
      <alignment horizontal="center" vertical="center" wrapText="1"/>
    </xf>
    <xf numFmtId="164" fontId="21" fillId="33" borderId="18" xfId="1" applyNumberFormat="1" applyFont="1" applyFill="1" applyBorder="1" applyAlignment="1" applyProtection="1">
      <alignment horizontal="center" vertical="center" wrapText="1"/>
    </xf>
    <xf numFmtId="0" fontId="56" fillId="0" borderId="0" xfId="0" applyFont="1"/>
    <xf numFmtId="0" fontId="54" fillId="0" borderId="0" xfId="156" applyFont="1" applyFill="1"/>
    <xf numFmtId="0" fontId="18" fillId="0" borderId="0" xfId="156" applyFill="1"/>
    <xf numFmtId="0" fontId="27" fillId="0" borderId="0" xfId="49" applyFont="1" applyFill="1" applyAlignment="1"/>
    <xf numFmtId="170" fontId="25" fillId="34" borderId="15" xfId="1" applyNumberFormat="1" applyFont="1" applyFill="1" applyBorder="1" applyProtection="1">
      <protection hidden="1"/>
    </xf>
    <xf numFmtId="170" fontId="23" fillId="35" borderId="10" xfId="1" applyNumberFormat="1" applyFont="1" applyFill="1" applyBorder="1" applyAlignment="1" applyProtection="1">
      <alignment wrapText="1"/>
      <protection hidden="1"/>
    </xf>
    <xf numFmtId="170" fontId="24" fillId="0" borderId="20" xfId="1" applyNumberFormat="1" applyFont="1" applyFill="1" applyBorder="1" applyProtection="1">
      <protection hidden="1"/>
    </xf>
    <xf numFmtId="170" fontId="24" fillId="0" borderId="18" xfId="1" applyNumberFormat="1" applyFont="1" applyFill="1" applyBorder="1" applyProtection="1">
      <protection hidden="1"/>
    </xf>
    <xf numFmtId="189" fontId="40" fillId="33" borderId="17" xfId="1" applyNumberFormat="1" applyFont="1" applyFill="1" applyBorder="1" applyAlignment="1" applyProtection="1">
      <alignment horizontal="center" vertical="center" wrapText="1"/>
      <protection hidden="1"/>
    </xf>
    <xf numFmtId="189" fontId="25" fillId="34" borderId="15" xfId="1" applyNumberFormat="1" applyFont="1" applyFill="1" applyBorder="1" applyProtection="1">
      <protection hidden="1"/>
    </xf>
    <xf numFmtId="189" fontId="23" fillId="35" borderId="10" xfId="1" applyNumberFormat="1" applyFont="1" applyFill="1" applyBorder="1" applyAlignment="1" applyProtection="1">
      <alignment wrapText="1"/>
      <protection hidden="1"/>
    </xf>
    <xf numFmtId="170" fontId="24" fillId="0" borderId="20" xfId="1" applyNumberFormat="1" applyFont="1" applyBorder="1" applyProtection="1">
      <protection hidden="1"/>
    </xf>
    <xf numFmtId="170" fontId="24" fillId="0" borderId="18" xfId="1" applyNumberFormat="1" applyFont="1" applyBorder="1" applyProtection="1">
      <protection hidden="1"/>
    </xf>
    <xf numFmtId="189" fontId="24" fillId="0" borderId="20" xfId="1" applyNumberFormat="1" applyFont="1" applyBorder="1" applyProtection="1">
      <protection hidden="1"/>
    </xf>
    <xf numFmtId="189" fontId="24" fillId="0" borderId="18" xfId="1" applyNumberFormat="1" applyFont="1" applyBorder="1" applyProtection="1">
      <protection hidden="1"/>
    </xf>
    <xf numFmtId="189" fontId="24" fillId="0" borderId="22" xfId="1" applyNumberFormat="1" applyFont="1" applyBorder="1" applyAlignment="1" applyProtection="1">
      <alignment horizontal="center"/>
      <protection hidden="1"/>
    </xf>
    <xf numFmtId="189" fontId="24" fillId="0" borderId="20" xfId="1" applyNumberFormat="1" applyFont="1" applyFill="1" applyBorder="1" applyProtection="1">
      <protection hidden="1"/>
    </xf>
    <xf numFmtId="189" fontId="24" fillId="0" borderId="18" xfId="1" applyNumberFormat="1" applyFont="1" applyFill="1" applyBorder="1" applyProtection="1">
      <protection hidden="1"/>
    </xf>
    <xf numFmtId="189" fontId="24" fillId="0" borderId="22" xfId="1" applyNumberFormat="1" applyFont="1" applyFill="1" applyBorder="1" applyAlignment="1" applyProtection="1">
      <alignment horizontal="center"/>
      <protection hidden="1"/>
    </xf>
    <xf numFmtId="167" fontId="24" fillId="0" borderId="18" xfId="56" applyNumberFormat="1" applyFont="1" applyBorder="1" applyAlignment="1" applyProtection="1">
      <protection hidden="1"/>
    </xf>
    <xf numFmtId="189" fontId="25" fillId="34" borderId="18" xfId="1" applyNumberFormat="1" applyFont="1" applyFill="1" applyBorder="1" applyAlignment="1" applyProtection="1">
      <alignment horizontal="center"/>
      <protection hidden="1"/>
    </xf>
    <xf numFmtId="0" fontId="55" fillId="35" borderId="18" xfId="0" applyFont="1" applyFill="1" applyBorder="1" applyAlignment="1" applyProtection="1">
      <alignment horizontal="center"/>
      <protection hidden="1"/>
    </xf>
    <xf numFmtId="0" fontId="24" fillId="0" borderId="0" xfId="49" applyFont="1" applyBorder="1" applyProtection="1">
      <protection hidden="1"/>
    </xf>
    <xf numFmtId="0" fontId="24" fillId="0" borderId="23" xfId="49" applyFont="1" applyBorder="1" applyProtection="1">
      <protection hidden="1"/>
    </xf>
    <xf numFmtId="0" fontId="29" fillId="35" borderId="18" xfId="0" applyFont="1" applyFill="1" applyBorder="1" applyAlignment="1" applyProtection="1">
      <alignment horizontal="center"/>
      <protection hidden="1"/>
    </xf>
    <xf numFmtId="167" fontId="24" fillId="0" borderId="18" xfId="56" applyNumberFormat="1" applyFont="1" applyBorder="1" applyProtection="1">
      <protection hidden="1"/>
    </xf>
    <xf numFmtId="3" fontId="56" fillId="0" borderId="11" xfId="1" applyNumberFormat="1" applyFont="1" applyFill="1" applyBorder="1" applyAlignment="1" applyProtection="1"/>
    <xf numFmtId="0" fontId="56" fillId="0" borderId="10" xfId="46" applyFont="1" applyFill="1" applyBorder="1" applyAlignment="1" applyProtection="1">
      <alignment wrapText="1"/>
    </xf>
    <xf numFmtId="10" fontId="0" fillId="0" borderId="0" xfId="0" applyNumberFormat="1"/>
    <xf numFmtId="0" fontId="38" fillId="0" borderId="0" xfId="49" quotePrefix="1" applyFont="1" applyBorder="1" applyAlignment="1" applyProtection="1">
      <alignment horizontal="left" vertical="center"/>
      <protection hidden="1"/>
    </xf>
    <xf numFmtId="3" fontId="0" fillId="42" borderId="0" xfId="0" applyNumberFormat="1" applyFill="1"/>
    <xf numFmtId="49" fontId="57" fillId="33" borderId="17" xfId="1" applyNumberFormat="1" applyFont="1" applyFill="1" applyBorder="1" applyAlignment="1" applyProtection="1">
      <alignment horizontal="center" vertical="center" wrapText="1"/>
      <protection hidden="1"/>
    </xf>
    <xf numFmtId="49" fontId="40" fillId="33" borderId="17" xfId="1" applyNumberFormat="1" applyFont="1" applyFill="1" applyBorder="1" applyAlignment="1" applyProtection="1">
      <alignment horizontal="center" vertical="center" wrapText="1"/>
      <protection hidden="1"/>
    </xf>
    <xf numFmtId="0" fontId="20" fillId="0" borderId="0" xfId="0" applyFont="1" applyFill="1" applyAlignment="1">
      <alignment wrapText="1"/>
    </xf>
    <xf numFmtId="166" fontId="20" fillId="0" borderId="0" xfId="1" applyNumberFormat="1" applyFont="1" applyFill="1"/>
    <xf numFmtId="3" fontId="0" fillId="0" borderId="0" xfId="0" applyNumberFormat="1" applyFill="1"/>
    <xf numFmtId="0" fontId="0" fillId="0" borderId="0" xfId="0" applyFill="1"/>
    <xf numFmtId="37" fontId="24" fillId="0" borderId="18" xfId="1" quotePrefix="1" applyNumberFormat="1" applyFont="1" applyBorder="1" applyProtection="1">
      <protection locked="0"/>
    </xf>
    <xf numFmtId="170" fontId="25" fillId="34" borderId="15" xfId="0" applyNumberFormat="1" applyFont="1" applyFill="1" applyBorder="1" applyProtection="1">
      <protection locked="0"/>
    </xf>
    <xf numFmtId="0" fontId="25" fillId="34" borderId="25" xfId="0" quotePrefix="1" applyFont="1" applyFill="1" applyBorder="1" applyAlignment="1" applyProtection="1">
      <alignment horizontal="center" wrapText="1"/>
    </xf>
    <xf numFmtId="0" fontId="0" fillId="0" borderId="26" xfId="0" applyBorder="1" applyAlignment="1">
      <alignment horizontal="center"/>
    </xf>
    <xf numFmtId="0" fontId="25" fillId="34" borderId="12" xfId="0" applyFont="1" applyFill="1" applyBorder="1" applyAlignment="1" applyProtection="1">
      <alignment horizontal="center" wrapText="1"/>
    </xf>
    <xf numFmtId="0" fontId="25" fillId="34" borderId="32" xfId="0" applyFont="1" applyFill="1" applyBorder="1" applyAlignment="1" applyProtection="1">
      <alignment horizontal="center" wrapText="1"/>
    </xf>
    <xf numFmtId="0" fontId="38" fillId="0" borderId="0" xfId="49" quotePrefix="1" applyFont="1" applyBorder="1" applyAlignment="1" applyProtection="1">
      <alignment horizontal="left" vertical="center"/>
      <protection hidden="1"/>
    </xf>
    <xf numFmtId="0" fontId="23" fillId="0" borderId="27" xfId="49" quotePrefix="1" applyFont="1" applyBorder="1" applyAlignment="1" applyProtection="1">
      <alignment horizontal="left" wrapText="1"/>
    </xf>
  </cellXfs>
  <cellStyles count="219">
    <cellStyle name="????" xfId="60"/>
    <cellStyle name="?????" xfId="61"/>
    <cellStyle name="????????" xfId="62"/>
    <cellStyle name="?????????????" xfId="63"/>
    <cellStyle name="??????????_BOPENGC" xfId="64"/>
    <cellStyle name="?????????1" xfId="65"/>
    <cellStyle name="?????????2" xfId="66"/>
    <cellStyle name="????????_BOPENGC" xfId="67"/>
    <cellStyle name="???????_BOPENGC" xfId="68"/>
    <cellStyle name="_A_Base Compara" xfId="69"/>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abecera 1" xfId="70"/>
    <cellStyle name="Cabecera 1 2" xfId="71"/>
    <cellStyle name="Cabecera 1 3" xfId="72"/>
    <cellStyle name="Cabecera 1_Historico" xfId="73"/>
    <cellStyle name="Cabecera 2" xfId="74"/>
    <cellStyle name="Cabecera 2 2" xfId="75"/>
    <cellStyle name="Cabecera 2 3" xfId="76"/>
    <cellStyle name="Cabecera 2_Historico" xfId="77"/>
    <cellStyle name="Cálculo" xfId="12" builtinId="22" customBuiltin="1"/>
    <cellStyle name="Categoría del Piloto de Datos" xfId="78"/>
    <cellStyle name="Celda de comprobación" xfId="14" builtinId="23" customBuiltin="1"/>
    <cellStyle name="Celda vinculada" xfId="13" builtinId="24" customBuiltin="1"/>
    <cellStyle name="Comma" xfId="79"/>
    <cellStyle name="Comma [0]_PIB" xfId="80"/>
    <cellStyle name="Comma 2" xfId="81"/>
    <cellStyle name="Comma 3" xfId="82"/>
    <cellStyle name="Comma_2003 y 2004" xfId="83"/>
    <cellStyle name="Comma0" xfId="84"/>
    <cellStyle name="Comma0 2" xfId="85"/>
    <cellStyle name="Comma0 3" xfId="86"/>
    <cellStyle name="Comma0_Historico" xfId="87"/>
    <cellStyle name="Currency" xfId="88"/>
    <cellStyle name="Currency [0]_PIB" xfId="89"/>
    <cellStyle name="Currency 2" xfId="90"/>
    <cellStyle name="Currency 3" xfId="91"/>
    <cellStyle name="Currency_2003 y 2004" xfId="92"/>
    <cellStyle name="Currency0" xfId="93"/>
    <cellStyle name="Currency0 2" xfId="94"/>
    <cellStyle name="Currency0 3" xfId="95"/>
    <cellStyle name="Currency0_Historico" xfId="96"/>
    <cellStyle name="Date" xfId="97"/>
    <cellStyle name="Date 2" xfId="98"/>
    <cellStyle name="Date 3" xfId="99"/>
    <cellStyle name="Date_Historico" xfId="100"/>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stilo 1" xfId="101"/>
    <cellStyle name="Euro" xfId="102"/>
    <cellStyle name="Euro 2" xfId="103"/>
    <cellStyle name="Euro 3" xfId="104"/>
    <cellStyle name="Euro_Historico" xfId="105"/>
    <cellStyle name="F2" xfId="106"/>
    <cellStyle name="F3" xfId="107"/>
    <cellStyle name="F4" xfId="108"/>
    <cellStyle name="F5" xfId="109"/>
    <cellStyle name="F6" xfId="110"/>
    <cellStyle name="F7" xfId="111"/>
    <cellStyle name="F8" xfId="112"/>
    <cellStyle name="Fecha" xfId="113"/>
    <cellStyle name="Fecha 2" xfId="114"/>
    <cellStyle name="Fecha 3" xfId="115"/>
    <cellStyle name="Fecha_Historico" xfId="116"/>
    <cellStyle name="Fecha4 - Modelo4" xfId="117"/>
    <cellStyle name="Fecha4 - Modelo4 2" xfId="118"/>
    <cellStyle name="Fijo" xfId="119"/>
    <cellStyle name="Fijo 2" xfId="120"/>
    <cellStyle name="Fijo 3" xfId="121"/>
    <cellStyle name="Fijo_Historico" xfId="122"/>
    <cellStyle name="Fixed" xfId="123"/>
    <cellStyle name="Fixed 2" xfId="124"/>
    <cellStyle name="Fixed 3" xfId="125"/>
    <cellStyle name="Fixed_Historico" xfId="126"/>
    <cellStyle name="Heading 1" xfId="127"/>
    <cellStyle name="Heading 1 2" xfId="128"/>
    <cellStyle name="Heading 1 3" xfId="129"/>
    <cellStyle name="Heading 1_Historico" xfId="130"/>
    <cellStyle name="Heading 2" xfId="131"/>
    <cellStyle name="Heading 2 2" xfId="132"/>
    <cellStyle name="Heading 2 3" xfId="133"/>
    <cellStyle name="Heading 2_Historico" xfId="134"/>
    <cellStyle name="Heading1" xfId="135"/>
    <cellStyle name="Heading1 2" xfId="136"/>
    <cellStyle name="Heading1 3" xfId="137"/>
    <cellStyle name="Heading1_Historico" xfId="138"/>
    <cellStyle name="Heading2" xfId="139"/>
    <cellStyle name="Heading2 2" xfId="140"/>
    <cellStyle name="Heading2 3" xfId="141"/>
    <cellStyle name="Heading2_Historico" xfId="142"/>
    <cellStyle name="Hipervínculo" xfId="53" builtinId="8"/>
    <cellStyle name="Incorrecto" xfId="8" builtinId="27" customBuiltin="1"/>
    <cellStyle name="Millares" xfId="1" builtinId="3" customBuiltin="1"/>
    <cellStyle name="Millares 2" xfId="43"/>
    <cellStyle name="Millares 2 2" xfId="143"/>
    <cellStyle name="Millares 2 3" xfId="55"/>
    <cellStyle name="Millares 3" xfId="59"/>
    <cellStyle name="Millares 4" xfId="50"/>
    <cellStyle name="Millares 4 2" xfId="58"/>
    <cellStyle name="Millares_Formato Analisis Financiero Viabilidad Fiscal VIG-2005 (YPL) FINAL1" xfId="56"/>
    <cellStyle name="Millares_Formato Analisis Financiero YPL 2006 FINAL" xfId="51"/>
    <cellStyle name="Millares_Formato Analisis Financiero YPL 2006 FINAL 3" xfId="218"/>
    <cellStyle name="Moneta - Modelo2" xfId="144"/>
    <cellStyle name="Moneta - Modelo2 2" xfId="145"/>
    <cellStyle name="Moneta - Modelo5" xfId="146"/>
    <cellStyle name="Moneta - Modelo5 2" xfId="147"/>
    <cellStyle name="Monetario" xfId="148"/>
    <cellStyle name="Monetario 2" xfId="149"/>
    <cellStyle name="Monetario 3" xfId="150"/>
    <cellStyle name="Monetario_Historico" xfId="151"/>
    <cellStyle name="Monetario0" xfId="152"/>
    <cellStyle name="Monetario0 2" xfId="153"/>
    <cellStyle name="Monetario0 3" xfId="154"/>
    <cellStyle name="Monetario0_Historico" xfId="155"/>
    <cellStyle name="Neutral" xfId="9" builtinId="28" customBuiltin="1"/>
    <cellStyle name="Normal" xfId="0" builtinId="0" customBuiltin="1"/>
    <cellStyle name="Normal 2" xfId="44"/>
    <cellStyle name="Normal 2 2" xfId="48"/>
    <cellStyle name="Normal 3" xfId="49"/>
    <cellStyle name="Normal 3 2" xfId="156"/>
    <cellStyle name="Normal 4" xfId="45"/>
    <cellStyle name="Normal 5" xfId="57"/>
    <cellStyle name="Normal_Hoja1" xfId="54"/>
    <cellStyle name="Normal_Hoja3" xfId="46"/>
    <cellStyle name="Notas" xfId="16" builtinId="10" customBuiltin="1"/>
    <cellStyle name="Percent" xfId="157"/>
    <cellStyle name="Percent 2" xfId="158"/>
    <cellStyle name="Percent 3" xfId="159"/>
    <cellStyle name="Percent_Historico" xfId="160"/>
    <cellStyle name="Piloto de Datos Ángulo" xfId="161"/>
    <cellStyle name="Piloto de Datos Campo" xfId="162"/>
    <cellStyle name="Piloto de Datos Resultado" xfId="163"/>
    <cellStyle name="Piloto de Datos Título" xfId="164"/>
    <cellStyle name="Piloto de Datos Valor" xfId="165"/>
    <cellStyle name="Porcen - Modelo3" xfId="166"/>
    <cellStyle name="Porcen - Modelo3 2" xfId="167"/>
    <cellStyle name="Porcentaje" xfId="47"/>
    <cellStyle name="Porcentaje 2" xfId="168"/>
    <cellStyle name="Porcentaje 3" xfId="169"/>
    <cellStyle name="Porcentaje_Historico" xfId="170"/>
    <cellStyle name="Porcentual 2" xfId="171"/>
    <cellStyle name="Porcentual 2 2" xfId="172"/>
    <cellStyle name="Porcentual 3" xfId="52"/>
    <cellStyle name="Punto" xfId="173"/>
    <cellStyle name="Punto 2" xfId="174"/>
    <cellStyle name="Punto 3" xfId="175"/>
    <cellStyle name="Punto_Historico" xfId="176"/>
    <cellStyle name="Punto0" xfId="177"/>
    <cellStyle name="Punto1 - Modelo1" xfId="178"/>
    <cellStyle name="Punto1 - Modelo1 2" xfId="179"/>
    <cellStyle name="Resumen" xfId="180"/>
    <cellStyle name="Resumen 2" xfId="181"/>
    <cellStyle name="Resumen 3" xfId="182"/>
    <cellStyle name="Resumen_Historico" xfId="183"/>
    <cellStyle name="Salida" xfId="11" builtinId="21" customBuiltin="1"/>
    <cellStyle name="Text" xfId="184"/>
    <cellStyle name="Text 2" xfId="185"/>
    <cellStyle name="Text 3" xfId="186"/>
    <cellStyle name="Text_Historico" xfId="187"/>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 name="Total 2" xfId="188"/>
    <cellStyle name="Total 3" xfId="189"/>
    <cellStyle name="ДАТА" xfId="190"/>
    <cellStyle name="ДАТА 2" xfId="191"/>
    <cellStyle name="ДАТА 3" xfId="192"/>
    <cellStyle name="ДАТА_Historico" xfId="193"/>
    <cellStyle name="ДЕНЕЖНЫЙ_BOPENGC" xfId="194"/>
    <cellStyle name="ЗАГОЛОВОК1" xfId="195"/>
    <cellStyle name="ЗАГОЛОВОК1 2" xfId="196"/>
    <cellStyle name="ЗАГОЛОВОК1 3" xfId="197"/>
    <cellStyle name="ЗАГОЛОВОК1_Historico" xfId="198"/>
    <cellStyle name="ЗАГОЛОВОК2" xfId="199"/>
    <cellStyle name="ЗАГОЛОВОК2 2" xfId="200"/>
    <cellStyle name="ЗАГОЛОВОК2 3" xfId="201"/>
    <cellStyle name="ЗАГОЛОВОК2_Historico" xfId="202"/>
    <cellStyle name="ИТОГОВЫЙ" xfId="203"/>
    <cellStyle name="ИТОГОВЫЙ 2" xfId="204"/>
    <cellStyle name="ИТОГОВЫЙ 3" xfId="205"/>
    <cellStyle name="ИТОГОВЫЙ_Historico" xfId="206"/>
    <cellStyle name="Обычный_BOPENGC" xfId="207"/>
    <cellStyle name="ПРОЦЕНТНЫЙ_BOPENGC" xfId="208"/>
    <cellStyle name="ТЕКСТ" xfId="209"/>
    <cellStyle name="ТЕКСТ 2" xfId="210"/>
    <cellStyle name="ТЕКСТ 3" xfId="211"/>
    <cellStyle name="ТЕКСТ_Historico" xfId="212"/>
    <cellStyle name="ФИКСИРОВАННЫЙ" xfId="213"/>
    <cellStyle name="ФИКСИРОВАННЫЙ 2" xfId="214"/>
    <cellStyle name="ФИКСИРОВАННЫЙ 3" xfId="215"/>
    <cellStyle name="ФИКСИРОВАННЫЙ_Historico" xfId="216"/>
    <cellStyle name="ФИНАНСОВЫЙ_BOPENGC" xfId="2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1"/>
      <c:rotY val="20"/>
      <c:depthPercent val="70"/>
      <c:rAngAx val="1"/>
    </c:view3D>
    <c:floor>
      <c:thickness val="0"/>
    </c:floor>
    <c:sideWall>
      <c:thickness val="0"/>
    </c:sideWall>
    <c:backWall>
      <c:thickness val="0"/>
    </c:backWall>
    <c:plotArea>
      <c:layout>
        <c:manualLayout>
          <c:layoutTarget val="inner"/>
          <c:xMode val="edge"/>
          <c:yMode val="edge"/>
          <c:x val="0.14310670113898397"/>
          <c:y val="5.2658519399358325E-2"/>
          <c:w val="0.84059520831265344"/>
          <c:h val="0.72690012383223257"/>
        </c:manualLayout>
      </c:layout>
      <c:bar3DChart>
        <c:barDir val="col"/>
        <c:grouping val="clustered"/>
        <c:varyColors val="0"/>
        <c:ser>
          <c:idx val="0"/>
          <c:order val="0"/>
          <c:tx>
            <c:strRef>
              <c:f>'Histórico Mpios'!$A$6</c:f>
              <c:strCache>
                <c:ptCount val="1"/>
                <c:pt idx="0">
                  <c:v>INGRESOS TOTALES</c:v>
                </c:pt>
              </c:strCache>
            </c:strRef>
          </c:tx>
          <c:invertIfNegative val="0"/>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2013</c:v>
                </c:pt>
                <c:pt idx="1">
                  <c:v>2014</c:v>
                </c:pt>
                <c:pt idx="2">
                  <c:v>2015</c:v>
                </c:pt>
                <c:pt idx="3">
                  <c:v>2016</c:v>
                </c:pt>
              </c:numCache>
            </c:numRef>
          </c:cat>
          <c:val>
            <c:numRef>
              <c:f>'Histórico Mpios'!$F$6:$I$6</c:f>
              <c:numCache>
                <c:formatCode>_(* #,##0_);_(* \(#,##0\);_(* "-"??_);_(@_)</c:formatCode>
                <c:ptCount val="4"/>
                <c:pt idx="0">
                  <c:v>90405.060045310514</c:v>
                </c:pt>
                <c:pt idx="1">
                  <c:v>205133.95893627559</c:v>
                </c:pt>
                <c:pt idx="2">
                  <c:v>162624.59803593752</c:v>
                </c:pt>
                <c:pt idx="3">
                  <c:v>180066.55589700001</c:v>
                </c:pt>
              </c:numCache>
            </c:numRef>
          </c:val>
          <c:shape val="cylinder"/>
        </c:ser>
        <c:ser>
          <c:idx val="1"/>
          <c:order val="1"/>
          <c:tx>
            <c:strRef>
              <c:f>'Histórico Mpios'!$A$17</c:f>
              <c:strCache>
                <c:ptCount val="1"/>
                <c:pt idx="0">
                  <c:v>GASTOS TOTALES</c:v>
                </c:pt>
              </c:strCache>
            </c:strRef>
          </c:tx>
          <c:invertIfNegative val="0"/>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2013</c:v>
                </c:pt>
                <c:pt idx="1">
                  <c:v>2014</c:v>
                </c:pt>
                <c:pt idx="2">
                  <c:v>2015</c:v>
                </c:pt>
                <c:pt idx="3">
                  <c:v>2016</c:v>
                </c:pt>
              </c:numCache>
            </c:numRef>
          </c:cat>
          <c:val>
            <c:numRef>
              <c:f>'Histórico Mpios'!$F$17:$I$17</c:f>
              <c:numCache>
                <c:formatCode>_(* #,##0_);_(* \(#,##0\);_(* "-"??_);_(@_)</c:formatCode>
                <c:ptCount val="4"/>
                <c:pt idx="0">
                  <c:v>165766.64796114474</c:v>
                </c:pt>
                <c:pt idx="1">
                  <c:v>216314.04399352541</c:v>
                </c:pt>
                <c:pt idx="2">
                  <c:v>195629.3580890625</c:v>
                </c:pt>
                <c:pt idx="3">
                  <c:v>162324.27109199998</c:v>
                </c:pt>
              </c:numCache>
            </c:numRef>
          </c:val>
          <c:shape val="cylinder"/>
        </c:ser>
        <c:dLbls>
          <c:showLegendKey val="0"/>
          <c:showVal val="0"/>
          <c:showCatName val="0"/>
          <c:showSerName val="0"/>
          <c:showPercent val="0"/>
          <c:showBubbleSize val="0"/>
        </c:dLbls>
        <c:gapWidth val="20"/>
        <c:shape val="box"/>
        <c:axId val="328889648"/>
        <c:axId val="328890824"/>
        <c:axId val="0"/>
      </c:bar3DChart>
      <c:catAx>
        <c:axId val="328889648"/>
        <c:scaling>
          <c:orientation val="minMax"/>
        </c:scaling>
        <c:delete val="0"/>
        <c:axPos val="b"/>
        <c:numFmt formatCode="General" sourceLinked="1"/>
        <c:majorTickMark val="out"/>
        <c:minorTickMark val="none"/>
        <c:tickLblPos val="low"/>
        <c:txPr>
          <a:bodyPr rot="0" vert="horz"/>
          <a:lstStyle/>
          <a:p>
            <a:pPr>
              <a:defRPr lang="es-ES"/>
            </a:pPr>
            <a:endParaRPr lang="es-CO"/>
          </a:p>
        </c:txPr>
        <c:crossAx val="328890824"/>
        <c:crosses val="autoZero"/>
        <c:auto val="1"/>
        <c:lblAlgn val="ctr"/>
        <c:lblOffset val="100"/>
        <c:tickLblSkip val="1"/>
        <c:tickMarkSkip val="1"/>
        <c:noMultiLvlLbl val="0"/>
      </c:catAx>
      <c:valAx>
        <c:axId val="328890824"/>
        <c:scaling>
          <c:orientation val="minMax"/>
          <c:min val="0"/>
        </c:scaling>
        <c:delete val="0"/>
        <c:axPos val="l"/>
        <c:majorGridlines/>
        <c:title>
          <c:tx>
            <c:rich>
              <a:bodyPr/>
              <a:lstStyle/>
              <a:p>
                <a:pPr>
                  <a:defRPr lang="es-ES"/>
                </a:pPr>
                <a:r>
                  <a:rPr lang="es-CO"/>
                  <a:t>Mill $ Constantes, 2010</a:t>
                </a:r>
              </a:p>
            </c:rich>
          </c:tx>
          <c:layout>
            <c:manualLayout>
              <c:xMode val="edge"/>
              <c:yMode val="edge"/>
              <c:x val="9.3159820990966011E-3"/>
              <c:y val="0.28313253012048195"/>
            </c:manualLayout>
          </c:layout>
          <c:overlay val="0"/>
        </c:title>
        <c:numFmt formatCode="_(* #,##0_);_(* \(#,##0\);_(* &quot;-&quot;??_);_(@_)" sourceLinked="1"/>
        <c:majorTickMark val="out"/>
        <c:minorTickMark val="none"/>
        <c:tickLblPos val="nextTo"/>
        <c:txPr>
          <a:bodyPr rot="0" vert="horz"/>
          <a:lstStyle/>
          <a:p>
            <a:pPr>
              <a:defRPr lang="es-ES"/>
            </a:pPr>
            <a:endParaRPr lang="es-CO"/>
          </a:p>
        </c:txPr>
        <c:crossAx val="328889648"/>
        <c:crosses val="autoZero"/>
        <c:crossBetween val="between"/>
      </c:valAx>
    </c:plotArea>
    <c:legend>
      <c:legendPos val="r"/>
      <c:layout>
        <c:manualLayout>
          <c:xMode val="edge"/>
          <c:yMode val="edge"/>
          <c:x val="5.2903315369420126E-2"/>
          <c:y val="0.88336067398182727"/>
          <c:w val="0.88501930373837934"/>
          <c:h val="7.3206703846712184E-2"/>
        </c:manualLayout>
      </c:layout>
      <c:overlay val="0"/>
      <c:txPr>
        <a:bodyPr/>
        <a:lstStyle/>
        <a:p>
          <a:pPr>
            <a:defRPr lang="es-ES" sz="1400"/>
          </a:pPr>
          <a:endParaRPr lang="es-CO"/>
        </a:p>
      </c:txPr>
    </c:legend>
    <c:plotVisOnly val="1"/>
    <c:dispBlanksAs val="gap"/>
    <c:showDLblsOverMax val="0"/>
  </c:chart>
  <c:printSettings>
    <c:headerFooter alignWithMargins="0"/>
    <c:pageMargins b="1" l="0.75000000000001066" r="0.75000000000001066"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87030829206341"/>
          <c:y val="3.6103487064117E-2"/>
          <c:w val="0.81458795919659122"/>
          <c:h val="0.86721550895247002"/>
        </c:manualLayout>
      </c:layout>
      <c:lineChart>
        <c:grouping val="standard"/>
        <c:varyColors val="0"/>
        <c:ser>
          <c:idx val="2"/>
          <c:order val="0"/>
          <c:tx>
            <c:strRef>
              <c:f>'Histórico Deptos'!$A$29</c:f>
              <c:strCache>
                <c:ptCount val="1"/>
              </c:strCache>
            </c:strRef>
          </c:tx>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numCache>
            </c:numRef>
          </c:cat>
          <c:val>
            <c:numRef>
              <c:f>'Histórico Deptos'!$F$29:$I$29</c:f>
              <c:numCache>
                <c:formatCode>General</c:formatCode>
                <c:ptCount val="4"/>
              </c:numCache>
            </c:numRef>
          </c:val>
          <c:smooth val="1"/>
        </c:ser>
        <c:ser>
          <c:idx val="3"/>
          <c:order val="1"/>
          <c:tx>
            <c:strRef>
              <c:f>'Histórico Deptos'!$A$40</c:f>
              <c:strCache>
                <c:ptCount val="1"/>
              </c:strCache>
            </c:strRef>
          </c:tx>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numCache>
            </c:numRef>
          </c:cat>
          <c:val>
            <c:numRef>
              <c:f>'Histórico Deptos'!$F$40:$I$40</c:f>
              <c:numCache>
                <c:formatCode>General</c:formatCode>
                <c:ptCount val="4"/>
              </c:numCache>
            </c:numRef>
          </c:val>
          <c:smooth val="1"/>
        </c:ser>
        <c:dLbls>
          <c:showLegendKey val="0"/>
          <c:showVal val="0"/>
          <c:showCatName val="0"/>
          <c:showSerName val="0"/>
          <c:showPercent val="0"/>
          <c:showBubbleSize val="0"/>
        </c:dLbls>
        <c:marker val="1"/>
        <c:smooth val="0"/>
        <c:axId val="379339208"/>
        <c:axId val="379340384"/>
      </c:lineChart>
      <c:catAx>
        <c:axId val="379339208"/>
        <c:scaling>
          <c:orientation val="minMax"/>
        </c:scaling>
        <c:delete val="0"/>
        <c:axPos val="b"/>
        <c:numFmt formatCode="General" sourceLinked="1"/>
        <c:majorTickMark val="out"/>
        <c:minorTickMark val="none"/>
        <c:tickLblPos val="nextTo"/>
        <c:txPr>
          <a:bodyPr rot="0" vert="horz"/>
          <a:lstStyle/>
          <a:p>
            <a:pPr>
              <a:defRPr lang="es-ES" sz="1400"/>
            </a:pPr>
            <a:endParaRPr lang="es-CO"/>
          </a:p>
        </c:txPr>
        <c:crossAx val="379340384"/>
        <c:crosses val="autoZero"/>
        <c:auto val="1"/>
        <c:lblAlgn val="ctr"/>
        <c:lblOffset val="100"/>
        <c:tickLblSkip val="1"/>
        <c:tickMarkSkip val="1"/>
        <c:noMultiLvlLbl val="0"/>
      </c:catAx>
      <c:valAx>
        <c:axId val="379340384"/>
        <c:scaling>
          <c:orientation val="minMax"/>
        </c:scaling>
        <c:delete val="0"/>
        <c:axPos val="l"/>
        <c:title>
          <c:tx>
            <c:rich>
              <a:bodyPr/>
              <a:lstStyle/>
              <a:p>
                <a:pPr>
                  <a:defRPr lang="es-ES"/>
                </a:pPr>
                <a:r>
                  <a:rPr lang="es-CO"/>
                  <a:t>Mill $ Constantes, 2009</a:t>
                </a:r>
              </a:p>
            </c:rich>
          </c:tx>
          <c:layout>
            <c:manualLayout>
              <c:xMode val="edge"/>
              <c:yMode val="edge"/>
              <c:x val="2.7303754266211604E-2"/>
              <c:y val="0.22222290841095838"/>
            </c:manualLayout>
          </c:layout>
          <c:overlay val="0"/>
        </c:title>
        <c:numFmt formatCode="General" sourceLinked="1"/>
        <c:majorTickMark val="out"/>
        <c:minorTickMark val="none"/>
        <c:tickLblPos val="nextTo"/>
        <c:txPr>
          <a:bodyPr rot="0" vert="horz"/>
          <a:lstStyle/>
          <a:p>
            <a:pPr>
              <a:defRPr lang="es-ES"/>
            </a:pPr>
            <a:endParaRPr lang="es-CO"/>
          </a:p>
        </c:txPr>
        <c:crossAx val="379339208"/>
        <c:crosses val="autoZero"/>
        <c:crossBetween val="between"/>
      </c:valAx>
    </c:plotArea>
    <c:legend>
      <c:legendPos val="r"/>
      <c:layout>
        <c:manualLayout>
          <c:xMode val="edge"/>
          <c:yMode val="edge"/>
          <c:x val="1.0818634423005864E-2"/>
          <c:y val="0.91758618407992332"/>
          <c:w val="0.95228305683798142"/>
          <c:h val="7.9302448230757813E-2"/>
        </c:manualLayout>
      </c:layout>
      <c:overlay val="0"/>
      <c:txPr>
        <a:bodyPr/>
        <a:lstStyle/>
        <a:p>
          <a:pPr>
            <a:defRPr lang="es-ES"/>
          </a:pPr>
          <a:endParaRPr lang="es-CO"/>
        </a:p>
      </c:txPr>
    </c:legend>
    <c:plotVisOnly val="1"/>
    <c:dispBlanksAs val="gap"/>
    <c:showDLblsOverMax val="0"/>
  </c:chart>
  <c:printSettings>
    <c:headerFooter alignWithMargins="0"/>
    <c:pageMargins b="1" l="0.75000000000001021" r="0.75000000000001021" t="1" header="0" footer="0"/>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9"/>
      <c:rotY val="20"/>
      <c:depthPercent val="70"/>
      <c:rAngAx val="1"/>
    </c:view3D>
    <c:floor>
      <c:thickness val="0"/>
    </c:floor>
    <c:sideWall>
      <c:thickness val="0"/>
    </c:sideWall>
    <c:backWall>
      <c:thickness val="0"/>
    </c:backWall>
    <c:plotArea>
      <c:layout>
        <c:manualLayout>
          <c:layoutTarget val="inner"/>
          <c:xMode val="edge"/>
          <c:yMode val="edge"/>
          <c:x val="0.11072056239015818"/>
          <c:y val="5.2388951379720834E-2"/>
          <c:w val="0.86818980667840273"/>
          <c:h val="0.80352755905511808"/>
        </c:manualLayout>
      </c:layout>
      <c:bar3DChart>
        <c:barDir val="col"/>
        <c:grouping val="stacked"/>
        <c:varyColors val="0"/>
        <c:ser>
          <c:idx val="3"/>
          <c:order val="0"/>
          <c:tx>
            <c:strRef>
              <c:f>'Histórico Deptos'!$A$23</c:f>
              <c:strCache>
                <c:ptCount val="1"/>
              </c:strCache>
            </c:strRef>
          </c:tx>
          <c:invertIfNegative val="0"/>
          <c:dLbls>
            <c:spPr>
              <a:noFill/>
              <a:ln>
                <a:noFill/>
              </a:ln>
              <a:effectLst/>
            </c:spPr>
            <c:txPr>
              <a:bodyPr/>
              <a:lstStyle/>
              <a:p>
                <a:pPr>
                  <a:defRPr lang="es-ES"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numCache>
            </c:numRef>
          </c:cat>
          <c:val>
            <c:numRef>
              <c:f>'Histórico Deptos'!$F$23:$I$23</c:f>
              <c:numCache>
                <c:formatCode>General</c:formatCode>
                <c:ptCount val="4"/>
              </c:numCache>
            </c:numRef>
          </c:val>
        </c:ser>
        <c:ser>
          <c:idx val="2"/>
          <c:order val="1"/>
          <c:tx>
            <c:strRef>
              <c:f>'Histórico Deptos'!$A$24</c:f>
              <c:strCache>
                <c:ptCount val="1"/>
              </c:strCache>
            </c:strRef>
          </c:tx>
          <c:invertIfNegative val="0"/>
          <c:dLbls>
            <c:spPr>
              <a:noFill/>
              <a:ln>
                <a:noFill/>
              </a:ln>
              <a:effectLst/>
            </c:spPr>
            <c:txPr>
              <a:bodyPr/>
              <a:lstStyle/>
              <a:p>
                <a:pPr>
                  <a:defRPr lang="es-ES"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numCache>
            </c:numRef>
          </c:cat>
          <c:val>
            <c:numRef>
              <c:f>'Histórico Deptos'!$F$24:$I$24</c:f>
              <c:numCache>
                <c:formatCode>General</c:formatCode>
                <c:ptCount val="4"/>
              </c:numCache>
            </c:numRef>
          </c:val>
        </c:ser>
        <c:ser>
          <c:idx val="1"/>
          <c:order val="2"/>
          <c:tx>
            <c:strRef>
              <c:f>'Histórico Deptos'!$A$25</c:f>
              <c:strCache>
                <c:ptCount val="1"/>
              </c:strCache>
            </c:strRef>
          </c:tx>
          <c:invertIfNegative val="0"/>
          <c:dLbls>
            <c:spPr>
              <a:noFill/>
              <a:ln>
                <a:noFill/>
              </a:ln>
              <a:effectLst/>
            </c:spPr>
            <c:txPr>
              <a:bodyPr/>
              <a:lstStyle/>
              <a:p>
                <a:pPr>
                  <a:defRPr lang="es-ES"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numCache>
            </c:numRef>
          </c:cat>
          <c:val>
            <c:numRef>
              <c:f>'Histórico Deptos'!$F$25:$I$25</c:f>
              <c:numCache>
                <c:formatCode>General</c:formatCode>
                <c:ptCount val="4"/>
              </c:numCache>
            </c:numRef>
          </c:val>
        </c:ser>
        <c:dLbls>
          <c:showLegendKey val="0"/>
          <c:showVal val="0"/>
          <c:showCatName val="0"/>
          <c:showSerName val="0"/>
          <c:showPercent val="0"/>
          <c:showBubbleSize val="0"/>
        </c:dLbls>
        <c:gapWidth val="70"/>
        <c:shape val="cylinder"/>
        <c:axId val="379337640"/>
        <c:axId val="379342344"/>
        <c:axId val="0"/>
      </c:bar3DChart>
      <c:catAx>
        <c:axId val="379337640"/>
        <c:scaling>
          <c:orientation val="minMax"/>
        </c:scaling>
        <c:delete val="0"/>
        <c:axPos val="b"/>
        <c:numFmt formatCode="General" sourceLinked="1"/>
        <c:majorTickMark val="out"/>
        <c:minorTickMark val="none"/>
        <c:tickLblPos val="low"/>
        <c:txPr>
          <a:bodyPr rot="0" vert="horz"/>
          <a:lstStyle/>
          <a:p>
            <a:pPr>
              <a:defRPr lang="es-ES" sz="1400"/>
            </a:pPr>
            <a:endParaRPr lang="es-CO"/>
          </a:p>
        </c:txPr>
        <c:crossAx val="379342344"/>
        <c:crosses val="autoZero"/>
        <c:auto val="1"/>
        <c:lblAlgn val="ctr"/>
        <c:lblOffset val="100"/>
        <c:tickLblSkip val="1"/>
        <c:tickMarkSkip val="1"/>
        <c:noMultiLvlLbl val="0"/>
      </c:catAx>
      <c:valAx>
        <c:axId val="379342344"/>
        <c:scaling>
          <c:orientation val="minMax"/>
        </c:scaling>
        <c:delete val="0"/>
        <c:axPos val="l"/>
        <c:title>
          <c:tx>
            <c:rich>
              <a:bodyPr/>
              <a:lstStyle/>
              <a:p>
                <a:pPr>
                  <a:defRPr lang="es-ES"/>
                </a:pPr>
                <a:r>
                  <a:rPr lang="es-CO"/>
                  <a:t>Mill $ Constantes, 2009</a:t>
                </a:r>
              </a:p>
            </c:rich>
          </c:tx>
          <c:layout>
            <c:manualLayout>
              <c:xMode val="edge"/>
              <c:yMode val="edge"/>
              <c:x val="8.7873462214411256E-3"/>
              <c:y val="0.2857146345078958"/>
            </c:manualLayout>
          </c:layout>
          <c:overlay val="0"/>
        </c:title>
        <c:numFmt formatCode="General" sourceLinked="0"/>
        <c:majorTickMark val="out"/>
        <c:minorTickMark val="none"/>
        <c:tickLblPos val="nextTo"/>
        <c:txPr>
          <a:bodyPr rot="0" vert="horz"/>
          <a:lstStyle/>
          <a:p>
            <a:pPr>
              <a:defRPr lang="es-ES"/>
            </a:pPr>
            <a:endParaRPr lang="es-CO"/>
          </a:p>
        </c:txPr>
        <c:crossAx val="379337640"/>
        <c:crosses val="autoZero"/>
        <c:crossBetween val="between"/>
      </c:valAx>
    </c:plotArea>
    <c:legend>
      <c:legendPos val="r"/>
      <c:layout>
        <c:manualLayout>
          <c:xMode val="edge"/>
          <c:yMode val="edge"/>
          <c:x val="0"/>
          <c:y val="0.85987748565327826"/>
          <c:w val="1"/>
          <c:h val="0.12995302282130031"/>
        </c:manualLayout>
      </c:layout>
      <c:overlay val="0"/>
      <c:txPr>
        <a:bodyPr/>
        <a:lstStyle/>
        <a:p>
          <a:pPr>
            <a:defRPr lang="es-ES" sz="1200"/>
          </a:pPr>
          <a:endParaRPr lang="es-CO"/>
        </a:p>
      </c:txPr>
    </c:legend>
    <c:plotVisOnly val="1"/>
    <c:dispBlanksAs val="gap"/>
    <c:showDLblsOverMax val="0"/>
  </c:chart>
  <c:printSettings>
    <c:headerFooter alignWithMargins="0"/>
    <c:pageMargins b="1" l="0.75000000000001021" r="0.75000000000001021" t="1" header="0" footer="0"/>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hPercent val="45"/>
      <c:rotY val="20"/>
      <c:depthPercent val="70"/>
      <c:rAngAx val="1"/>
    </c:view3D>
    <c:floor>
      <c:thickness val="0"/>
    </c:floor>
    <c:sideWall>
      <c:thickness val="0"/>
    </c:sideWall>
    <c:backWall>
      <c:thickness val="0"/>
    </c:backWall>
    <c:plotArea>
      <c:layout>
        <c:manualLayout>
          <c:layoutTarget val="inner"/>
          <c:xMode val="edge"/>
          <c:yMode val="edge"/>
          <c:x val="0.13927232211901597"/>
          <c:y val="5.7707193380488513E-2"/>
          <c:w val="0.82867132867132864"/>
          <c:h val="0.76046739920220896"/>
        </c:manualLayout>
      </c:layout>
      <c:bar3DChart>
        <c:barDir val="col"/>
        <c:grouping val="clustered"/>
        <c:varyColors val="0"/>
        <c:ser>
          <c:idx val="0"/>
          <c:order val="0"/>
          <c:tx>
            <c:strRef>
              <c:f>'Histórico Deptos'!$A$49</c:f>
              <c:strCache>
                <c:ptCount val="1"/>
              </c:strCache>
            </c:strRef>
          </c:tx>
          <c:invertIfNegative val="0"/>
          <c:dLbls>
            <c:dLbl>
              <c:idx val="0"/>
              <c:layout>
                <c:manualLayout>
                  <c:x val="2.7298790448396792E-2"/>
                  <c:y val="-5.8675456265641218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0327258043793474E-2"/>
                  <c:y val="-6.493316242446441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2866215149679913E-2"/>
                  <c:y val="-6.341726179576393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2398362792063585E-2"/>
                  <c:y val="-6.3802722334127024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34190824077729981"/>
                  <c:y val="-0.21495047574118567"/>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29549416134226436"/>
                  <c:y val="-0.49685571822245761"/>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Mode val="edge"/>
                  <c:yMode val="edge"/>
                  <c:x val="0.61188811188811265"/>
                  <c:y val="0.30523255813953476"/>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Mode val="edge"/>
                  <c:yMode val="edge"/>
                  <c:x val="0.69405594405594406"/>
                  <c:y val="0.3633720930232671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Mode val="edge"/>
                  <c:yMode val="edge"/>
                  <c:x val="0.65559440559442073"/>
                  <c:y val="0.38662790697675253"/>
                </c:manualLayout>
              </c:layout>
              <c:showLegendKey val="0"/>
              <c:showVal val="1"/>
              <c:showCatName val="0"/>
              <c:showSerName val="0"/>
              <c:showPercent val="0"/>
              <c:showBubbleSize val="0"/>
              <c:extLst>
                <c:ext xmlns:c15="http://schemas.microsoft.com/office/drawing/2012/chart" uri="{CE6537A1-D6FC-4f65-9D91-7224C49458BB}"/>
              </c:extLst>
            </c:dLbl>
            <c:numFmt formatCode="_ * #,##0_ ;_ * \-#,##0_ ;_ * &quot;-&quot;??_ ;_ @_ " sourceLinked="0"/>
            <c:spPr>
              <a:noFill/>
              <a:ln>
                <a:noFill/>
              </a:ln>
              <a:effectLst/>
            </c:spPr>
            <c:txPr>
              <a:bodyPr/>
              <a:lstStyle/>
              <a:p>
                <a:pPr>
                  <a:defRPr lang="es-ES"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numCache>
            </c:numRef>
          </c:cat>
          <c:val>
            <c:numRef>
              <c:f>'Histórico Deptos'!$F$49:$I$49</c:f>
              <c:numCache>
                <c:formatCode>General</c:formatCode>
                <c:ptCount val="4"/>
              </c:numCache>
            </c:numRef>
          </c:val>
          <c:shape val="cylinder"/>
        </c:ser>
        <c:dLbls>
          <c:showLegendKey val="0"/>
          <c:showVal val="0"/>
          <c:showCatName val="0"/>
          <c:showSerName val="0"/>
          <c:showPercent val="0"/>
          <c:showBubbleSize val="0"/>
        </c:dLbls>
        <c:gapWidth val="20"/>
        <c:shape val="box"/>
        <c:axId val="379338816"/>
        <c:axId val="379339992"/>
        <c:axId val="0"/>
      </c:bar3DChart>
      <c:catAx>
        <c:axId val="379338816"/>
        <c:scaling>
          <c:orientation val="minMax"/>
        </c:scaling>
        <c:delete val="0"/>
        <c:axPos val="b"/>
        <c:numFmt formatCode="General" sourceLinked="1"/>
        <c:majorTickMark val="out"/>
        <c:minorTickMark val="none"/>
        <c:tickLblPos val="low"/>
        <c:txPr>
          <a:bodyPr rot="0" vert="horz"/>
          <a:lstStyle/>
          <a:p>
            <a:pPr>
              <a:defRPr lang="es-ES" sz="1400"/>
            </a:pPr>
            <a:endParaRPr lang="es-CO"/>
          </a:p>
        </c:txPr>
        <c:crossAx val="379339992"/>
        <c:crosses val="autoZero"/>
        <c:auto val="1"/>
        <c:lblAlgn val="ctr"/>
        <c:lblOffset val="100"/>
        <c:tickLblSkip val="1"/>
        <c:tickMarkSkip val="1"/>
        <c:noMultiLvlLbl val="0"/>
      </c:catAx>
      <c:valAx>
        <c:axId val="379339992"/>
        <c:scaling>
          <c:orientation val="minMax"/>
        </c:scaling>
        <c:delete val="0"/>
        <c:axPos val="l"/>
        <c:title>
          <c:tx>
            <c:rich>
              <a:bodyPr/>
              <a:lstStyle/>
              <a:p>
                <a:pPr>
                  <a:defRPr lang="es-ES"/>
                </a:pPr>
                <a:r>
                  <a:rPr lang="es-CO"/>
                  <a:t>Mill $ Constantes, 2009</a:t>
                </a:r>
              </a:p>
            </c:rich>
          </c:tx>
          <c:layout>
            <c:manualLayout>
              <c:xMode val="edge"/>
              <c:yMode val="edge"/>
              <c:x val="2.9720279720279852E-2"/>
              <c:y val="0.33720930232558138"/>
            </c:manualLayout>
          </c:layout>
          <c:overlay val="0"/>
        </c:title>
        <c:numFmt formatCode="General" sourceLinked="1"/>
        <c:majorTickMark val="out"/>
        <c:minorTickMark val="none"/>
        <c:tickLblPos val="nextTo"/>
        <c:txPr>
          <a:bodyPr rot="0" vert="horz"/>
          <a:lstStyle/>
          <a:p>
            <a:pPr>
              <a:defRPr lang="es-ES"/>
            </a:pPr>
            <a:endParaRPr lang="es-CO"/>
          </a:p>
        </c:txPr>
        <c:crossAx val="379338816"/>
        <c:crosses val="autoZero"/>
        <c:crossBetween val="between"/>
      </c:valAx>
    </c:plotArea>
    <c:plotVisOnly val="1"/>
    <c:dispBlanksAs val="gap"/>
    <c:showDLblsOverMax val="0"/>
  </c:chart>
  <c:printSettings>
    <c:headerFooter alignWithMargins="0"/>
    <c:pageMargins b="1" l="0.75000000000001021" r="0.75000000000001021" t="1" header="0" footer="0"/>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53389723306818"/>
          <c:y val="2.3550489579253247E-2"/>
          <c:w val="0.86009911269094719"/>
          <c:h val="0.7586447436346293"/>
        </c:manualLayout>
      </c:layout>
      <c:lineChart>
        <c:grouping val="standard"/>
        <c:varyColors val="0"/>
        <c:ser>
          <c:idx val="0"/>
          <c:order val="0"/>
          <c:tx>
            <c:strRef>
              <c:f>'Histórico Deptos'!$A$9</c:f>
              <c:strCache>
                <c:ptCount val="1"/>
              </c:strCache>
            </c:strRef>
          </c:tx>
          <c:marker>
            <c:symbol val="none"/>
          </c:marker>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numCache>
            </c:numRef>
          </c:cat>
          <c:val>
            <c:numRef>
              <c:f>'Histórico Deptos'!$F$9:$I$9</c:f>
              <c:numCache>
                <c:formatCode>General</c:formatCode>
                <c:ptCount val="4"/>
              </c:numCache>
            </c:numRef>
          </c:val>
          <c:smooth val="1"/>
        </c:ser>
        <c:ser>
          <c:idx val="1"/>
          <c:order val="1"/>
          <c:tx>
            <c:strRef>
              <c:f>'Histórico Deptos'!$A$10</c:f>
              <c:strCache>
                <c:ptCount val="1"/>
              </c:strCache>
            </c:strRef>
          </c:tx>
          <c:marker>
            <c:symbol val="none"/>
          </c:marker>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numCache>
            </c:numRef>
          </c:cat>
          <c:val>
            <c:numRef>
              <c:f>'Histórico Deptos'!$F$10:$I$10</c:f>
              <c:numCache>
                <c:formatCode>General</c:formatCode>
                <c:ptCount val="4"/>
              </c:numCache>
            </c:numRef>
          </c:val>
          <c:smooth val="1"/>
        </c:ser>
        <c:ser>
          <c:idx val="3"/>
          <c:order val="2"/>
          <c:tx>
            <c:strRef>
              <c:f>'Histórico Deptos'!$A$11</c:f>
              <c:strCache>
                <c:ptCount val="1"/>
              </c:strCache>
            </c:strRef>
          </c:t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rker>
            <c:symbol val="none"/>
          </c:marker>
          <c:trendline>
            <c:trendlineType val="linear"/>
            <c:dispRSqr val="0"/>
            <c:dispEq val="0"/>
          </c:trendline>
          <c:cat>
            <c:numRef>
              <c:f>'Histórico Deptos'!$F$5:$I$5</c:f>
              <c:numCache>
                <c:formatCode>General</c:formatCode>
                <c:ptCount val="4"/>
              </c:numCache>
            </c:numRef>
          </c:cat>
          <c:val>
            <c:numRef>
              <c:f>'Histórico Deptos'!$F$11:$I$11</c:f>
              <c:numCache>
                <c:formatCode>General</c:formatCode>
                <c:ptCount val="4"/>
              </c:numCache>
            </c:numRef>
          </c:val>
          <c:smooth val="1"/>
        </c:ser>
        <c:ser>
          <c:idx val="2"/>
          <c:order val="3"/>
          <c:tx>
            <c:strRef>
              <c:f>'Histórico Deptos'!$A$12</c:f>
              <c:strCache>
                <c:ptCount val="1"/>
              </c:strCache>
            </c:strRef>
          </c:tx>
          <c:marker>
            <c:symbol val="none"/>
          </c:marker>
          <c:cat>
            <c:numRef>
              <c:f>'Histórico Deptos'!$F$5:$I$5</c:f>
              <c:numCache>
                <c:formatCode>General</c:formatCode>
                <c:ptCount val="4"/>
              </c:numCache>
            </c:numRef>
          </c:cat>
          <c:val>
            <c:numRef>
              <c:f>'Histórico Deptos'!$F$12:$I$12</c:f>
              <c:numCache>
                <c:formatCode>General</c:formatCode>
                <c:ptCount val="4"/>
              </c:numCache>
            </c:numRef>
          </c:val>
          <c:smooth val="1"/>
        </c:ser>
        <c:ser>
          <c:idx val="4"/>
          <c:order val="4"/>
          <c:tx>
            <c:strRef>
              <c:f>'Histórico Deptos'!$A$13</c:f>
              <c:strCache>
                <c:ptCount val="1"/>
              </c:strCache>
            </c:strRef>
          </c:tx>
          <c:marker>
            <c:symbol val="none"/>
          </c:marker>
          <c:cat>
            <c:numRef>
              <c:f>'Histórico Deptos'!$F$5:$I$5</c:f>
              <c:numCache>
                <c:formatCode>General</c:formatCode>
                <c:ptCount val="4"/>
              </c:numCache>
            </c:numRef>
          </c:cat>
          <c:val>
            <c:numRef>
              <c:f>'Histórico Deptos'!$F$13:$I$13</c:f>
              <c:numCache>
                <c:formatCode>General</c:formatCode>
                <c:ptCount val="4"/>
              </c:numCache>
            </c:numRef>
          </c:val>
          <c:smooth val="0"/>
        </c:ser>
        <c:ser>
          <c:idx val="5"/>
          <c:order val="5"/>
          <c:tx>
            <c:strRef>
              <c:f>'Histórico Deptos'!$A$14</c:f>
              <c:strCache>
                <c:ptCount val="1"/>
              </c:strCache>
            </c:strRef>
          </c:tx>
          <c:marker>
            <c:symbol val="none"/>
          </c:marker>
          <c:cat>
            <c:numRef>
              <c:f>'Histórico Deptos'!$F$5:$I$5</c:f>
              <c:numCache>
                <c:formatCode>General</c:formatCode>
                <c:ptCount val="4"/>
              </c:numCache>
            </c:numRef>
          </c:cat>
          <c:val>
            <c:numRef>
              <c:f>'Histórico Deptos'!$F$14:$I$14</c:f>
              <c:numCache>
                <c:formatCode>General</c:formatCode>
                <c:ptCount val="4"/>
              </c:numCache>
            </c:numRef>
          </c:val>
          <c:smooth val="0"/>
        </c:ser>
        <c:ser>
          <c:idx val="6"/>
          <c:order val="6"/>
          <c:tx>
            <c:strRef>
              <c:f>'Histórico Deptos'!$A$15</c:f>
              <c:strCache>
                <c:ptCount val="1"/>
              </c:strCache>
            </c:strRef>
          </c:tx>
          <c:marker>
            <c:symbol val="none"/>
          </c:marker>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numCache>
            </c:numRef>
          </c:cat>
          <c:val>
            <c:numRef>
              <c:f>'Histórico Deptos'!$F$15:$I$15</c:f>
              <c:numCache>
                <c:formatCode>General</c:formatCode>
                <c:ptCount val="4"/>
              </c:numCache>
            </c:numRef>
          </c:val>
          <c:smooth val="0"/>
        </c:ser>
        <c:dLbls>
          <c:showLegendKey val="0"/>
          <c:showVal val="0"/>
          <c:showCatName val="0"/>
          <c:showSerName val="0"/>
          <c:showPercent val="0"/>
          <c:showBubbleSize val="0"/>
        </c:dLbls>
        <c:smooth val="0"/>
        <c:axId val="379340776"/>
        <c:axId val="379341952"/>
      </c:lineChart>
      <c:catAx>
        <c:axId val="379340776"/>
        <c:scaling>
          <c:orientation val="minMax"/>
        </c:scaling>
        <c:delete val="0"/>
        <c:axPos val="b"/>
        <c:numFmt formatCode="General" sourceLinked="1"/>
        <c:majorTickMark val="out"/>
        <c:minorTickMark val="none"/>
        <c:tickLblPos val="low"/>
        <c:txPr>
          <a:bodyPr rot="0" vert="horz"/>
          <a:lstStyle/>
          <a:p>
            <a:pPr>
              <a:defRPr lang="es-ES" sz="1100"/>
            </a:pPr>
            <a:endParaRPr lang="es-CO"/>
          </a:p>
        </c:txPr>
        <c:crossAx val="379341952"/>
        <c:crosses val="autoZero"/>
        <c:auto val="1"/>
        <c:lblAlgn val="ctr"/>
        <c:lblOffset val="100"/>
        <c:tickLblSkip val="1"/>
        <c:tickMarkSkip val="1"/>
        <c:noMultiLvlLbl val="0"/>
      </c:catAx>
      <c:valAx>
        <c:axId val="379341952"/>
        <c:scaling>
          <c:orientation val="minMax"/>
          <c:min val="0"/>
        </c:scaling>
        <c:delete val="0"/>
        <c:axPos val="l"/>
        <c:title>
          <c:tx>
            <c:rich>
              <a:bodyPr/>
              <a:lstStyle/>
              <a:p>
                <a:pPr>
                  <a:defRPr lang="es-ES"/>
                </a:pPr>
                <a:r>
                  <a:rPr lang="es-CO"/>
                  <a:t>Mill $ Constantes, 2010</a:t>
                </a:r>
              </a:p>
            </c:rich>
          </c:tx>
          <c:layout>
            <c:manualLayout>
              <c:xMode val="edge"/>
              <c:yMode val="edge"/>
              <c:x val="8.6355785837651123E-3"/>
              <c:y val="0.23214348206474344"/>
            </c:manualLayout>
          </c:layout>
          <c:overlay val="0"/>
        </c:title>
        <c:numFmt formatCode="General" sourceLinked="1"/>
        <c:majorTickMark val="out"/>
        <c:minorTickMark val="none"/>
        <c:tickLblPos val="nextTo"/>
        <c:txPr>
          <a:bodyPr rot="0" vert="horz"/>
          <a:lstStyle/>
          <a:p>
            <a:pPr>
              <a:defRPr lang="es-ES"/>
            </a:pPr>
            <a:endParaRPr lang="es-CO"/>
          </a:p>
        </c:txPr>
        <c:crossAx val="379340776"/>
        <c:crosses val="autoZero"/>
        <c:crossBetween val="between"/>
      </c:valAx>
    </c:plotArea>
    <c:legend>
      <c:legendPos val="r"/>
      <c:layout>
        <c:manualLayout>
          <c:xMode val="edge"/>
          <c:yMode val="edge"/>
          <c:x val="2.7058146229130692E-2"/>
          <c:y val="0.85423802431628981"/>
          <c:w val="0.96427182353501684"/>
          <c:h val="0.14320802888928091"/>
        </c:manualLayout>
      </c:layout>
      <c:overlay val="0"/>
      <c:txPr>
        <a:bodyPr/>
        <a:lstStyle/>
        <a:p>
          <a:pPr>
            <a:defRPr lang="es-ES" sz="1100"/>
          </a:pPr>
          <a:endParaRPr lang="es-CO"/>
        </a:p>
      </c:txPr>
    </c:legend>
    <c:plotVisOnly val="1"/>
    <c:dispBlanksAs val="gap"/>
    <c:showDLblsOverMax val="0"/>
  </c:chart>
  <c:printSettings>
    <c:headerFooter alignWithMargins="0"/>
    <c:pageMargins b="1" l="0.75000000000001021" r="0.75000000000001021" t="1" header="0" footer="0"/>
    <c:pageSetup paperSize="9" orientation="landscape" horizontalDpi="300"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4"/>
      <c:rotY val="20"/>
      <c:depthPercent val="70"/>
      <c:rAngAx val="1"/>
    </c:view3D>
    <c:floor>
      <c:thickness val="0"/>
    </c:floor>
    <c:sideWall>
      <c:thickness val="0"/>
    </c:sideWall>
    <c:backWall>
      <c:thickness val="0"/>
    </c:backWall>
    <c:plotArea>
      <c:layout>
        <c:manualLayout>
          <c:layoutTarget val="inner"/>
          <c:xMode val="edge"/>
          <c:yMode val="edge"/>
          <c:x val="0.14860864416814684"/>
          <c:y val="2.0160315669468611E-2"/>
          <c:w val="0.8164594434576673"/>
          <c:h val="0.86672794182797652"/>
        </c:manualLayout>
      </c:layout>
      <c:bar3DChart>
        <c:barDir val="col"/>
        <c:grouping val="clustered"/>
        <c:varyColors val="0"/>
        <c:ser>
          <c:idx val="0"/>
          <c:order val="0"/>
          <c:tx>
            <c:strRef>
              <c:f>'Histórico Deptos'!$A$7</c:f>
              <c:strCache>
                <c:ptCount val="1"/>
              </c:strCache>
            </c:strRef>
          </c:tx>
          <c:invertIfNegative val="0"/>
          <c:dLbls>
            <c:dLbl>
              <c:idx val="0"/>
              <c:layout>
                <c:manualLayout>
                  <c:x val="8.2944530844997408E-3"/>
                  <c:y val="-2.7006751687922055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3.300825206301578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8004501125281343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6.2208398133748134E-3"/>
                  <c:y val="-3.000750187546884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nchor="t" anchorCtr="0"/>
              <a:lstStyle/>
              <a:p>
                <a:pPr>
                  <a:defRPr lang="es-ES"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numCache>
            </c:numRef>
          </c:cat>
          <c:val>
            <c:numRef>
              <c:f>'Histórico Deptos'!$F$7:$I$7</c:f>
              <c:numCache>
                <c:formatCode>General</c:formatCode>
                <c:ptCount val="4"/>
              </c:numCache>
            </c:numRef>
          </c:val>
          <c:shape val="cylinder"/>
        </c:ser>
        <c:ser>
          <c:idx val="1"/>
          <c:order val="1"/>
          <c:tx>
            <c:strRef>
              <c:f>'Histórico Deptos'!$A$21</c:f>
              <c:strCache>
                <c:ptCount val="1"/>
              </c:strCache>
            </c:strRef>
          </c:tx>
          <c:invertIfNegative val="0"/>
          <c:dLbls>
            <c:dLbl>
              <c:idx val="0"/>
              <c:layout>
                <c:manualLayout>
                  <c:x val="1.6588906168999443E-2"/>
                  <c:y val="-1.200300075018756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2441679626749623E-2"/>
                  <c:y val="-1.8004501125281385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6588906168999558E-2"/>
                  <c:y val="-9.002250562640689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4515292897874498E-2"/>
                  <c:y val="-2.400600150037516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numCache>
            </c:numRef>
          </c:cat>
          <c:val>
            <c:numRef>
              <c:f>'Histórico Deptos'!$F$21:$I$21</c:f>
              <c:numCache>
                <c:formatCode>General</c:formatCode>
                <c:ptCount val="4"/>
              </c:numCache>
            </c:numRef>
          </c:val>
          <c:shape val="cylinder"/>
        </c:ser>
        <c:dLbls>
          <c:showLegendKey val="0"/>
          <c:showVal val="0"/>
          <c:showCatName val="0"/>
          <c:showSerName val="0"/>
          <c:showPercent val="0"/>
          <c:showBubbleSize val="0"/>
        </c:dLbls>
        <c:gapWidth val="20"/>
        <c:shape val="box"/>
        <c:axId val="379343520"/>
        <c:axId val="379338424"/>
        <c:axId val="0"/>
      </c:bar3DChart>
      <c:catAx>
        <c:axId val="379343520"/>
        <c:scaling>
          <c:orientation val="minMax"/>
        </c:scaling>
        <c:delete val="0"/>
        <c:axPos val="b"/>
        <c:numFmt formatCode="General" sourceLinked="1"/>
        <c:majorTickMark val="out"/>
        <c:minorTickMark val="none"/>
        <c:tickLblPos val="low"/>
        <c:txPr>
          <a:bodyPr rot="0" vert="horz"/>
          <a:lstStyle/>
          <a:p>
            <a:pPr>
              <a:defRPr lang="es-ES" sz="1400"/>
            </a:pPr>
            <a:endParaRPr lang="es-CO"/>
          </a:p>
        </c:txPr>
        <c:crossAx val="379338424"/>
        <c:crosses val="autoZero"/>
        <c:auto val="1"/>
        <c:lblAlgn val="ctr"/>
        <c:lblOffset val="100"/>
        <c:tickLblSkip val="1"/>
        <c:tickMarkSkip val="1"/>
        <c:noMultiLvlLbl val="0"/>
      </c:catAx>
      <c:valAx>
        <c:axId val="379338424"/>
        <c:scaling>
          <c:orientation val="minMax"/>
          <c:min val="0"/>
        </c:scaling>
        <c:delete val="0"/>
        <c:axPos val="l"/>
        <c:title>
          <c:tx>
            <c:rich>
              <a:bodyPr/>
              <a:lstStyle/>
              <a:p>
                <a:pPr>
                  <a:defRPr lang="es-ES" sz="1100"/>
                </a:pPr>
                <a:r>
                  <a:rPr lang="es-CO" sz="1100" b="1" i="0" baseline="0"/>
                  <a:t>Mill $ Constantes, 2010</a:t>
                </a:r>
                <a:endParaRPr lang="es-ES" sz="1100"/>
              </a:p>
            </c:rich>
          </c:tx>
          <c:layout>
            <c:manualLayout>
              <c:xMode val="edge"/>
              <c:yMode val="edge"/>
              <c:x val="1.0065127294257381E-2"/>
              <c:y val="0.29202099737533727"/>
            </c:manualLayout>
          </c:layout>
          <c:overlay val="0"/>
        </c:title>
        <c:numFmt formatCode="General" sourceLinked="1"/>
        <c:majorTickMark val="out"/>
        <c:minorTickMark val="none"/>
        <c:tickLblPos val="nextTo"/>
        <c:txPr>
          <a:bodyPr rot="0" vert="horz"/>
          <a:lstStyle/>
          <a:p>
            <a:pPr>
              <a:defRPr lang="es-ES"/>
            </a:pPr>
            <a:endParaRPr lang="es-CO"/>
          </a:p>
        </c:txPr>
        <c:crossAx val="379343520"/>
        <c:crosses val="autoZero"/>
        <c:crossBetween val="between"/>
      </c:valAx>
    </c:plotArea>
    <c:legend>
      <c:legendPos val="r"/>
      <c:layout>
        <c:manualLayout>
          <c:xMode val="edge"/>
          <c:yMode val="edge"/>
          <c:x val="4.9161270471741923E-2"/>
          <c:y val="0.89242272587059968"/>
          <c:w val="0.90448885670790558"/>
          <c:h val="7.1890726096333984E-2"/>
        </c:manualLayout>
      </c:layout>
      <c:overlay val="0"/>
      <c:txPr>
        <a:bodyPr/>
        <a:lstStyle/>
        <a:p>
          <a:pPr>
            <a:defRPr lang="es-ES" sz="1200"/>
          </a:pPr>
          <a:endParaRPr lang="es-CO"/>
        </a:p>
      </c:txPr>
    </c:legend>
    <c:plotVisOnly val="1"/>
    <c:dispBlanksAs val="gap"/>
    <c:showDLblsOverMax val="0"/>
  </c:chart>
  <c:printSettings>
    <c:headerFooter alignWithMargins="0"/>
    <c:pageMargins b="1" l="0.75000000000001021" r="0.75000000000001021" t="1"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dLbls>
            <c:dLbl>
              <c:idx val="0"/>
              <c:layout>
                <c:manualLayout>
                  <c:x val="-4.4958989501312392E-2"/>
                  <c:y val="-0.23853054826480025"/>
                </c:manualLayout>
              </c:layout>
              <c:showLegendKey val="1"/>
              <c:showVal val="1"/>
              <c:showCatName val="1"/>
              <c:showSerName val="0"/>
              <c:showPercent val="0"/>
              <c:showBubbleSize val="0"/>
              <c:extLst>
                <c:ext xmlns:c15="http://schemas.microsoft.com/office/drawing/2012/chart" uri="{CE6537A1-D6FC-4f65-9D91-7224C49458BB}"/>
              </c:extLst>
            </c:dLbl>
            <c:dLbl>
              <c:idx val="1"/>
              <c:layout>
                <c:manualLayout>
                  <c:x val="0.30934098862642251"/>
                  <c:y val="-2.2498177311169539E-2"/>
                </c:manualLayout>
              </c:layout>
              <c:showLegendKey val="1"/>
              <c:showVal val="1"/>
              <c:showCatName val="1"/>
              <c:showSerName val="0"/>
              <c:showPercent val="0"/>
              <c:showBubbleSize val="0"/>
              <c:extLst>
                <c:ext xmlns:c15="http://schemas.microsoft.com/office/drawing/2012/chart" uri="{CE6537A1-D6FC-4f65-9D91-7224C49458BB}"/>
              </c:extLst>
            </c:dLbl>
            <c:dLbl>
              <c:idx val="2"/>
              <c:layout>
                <c:manualLayout>
                  <c:x val="0.10586909448818928"/>
                  <c:y val="8.6424613589967947E-3"/>
                </c:manualLayout>
              </c:layout>
              <c:showLegendKey val="1"/>
              <c:showVal val="1"/>
              <c:showCatName val="1"/>
              <c:showSerName val="0"/>
              <c:showPercent val="0"/>
              <c:showBubbleSize val="0"/>
              <c:extLst>
                <c:ext xmlns:c15="http://schemas.microsoft.com/office/drawing/2012/chart" uri="{CE6537A1-D6FC-4f65-9D91-7224C49458BB}"/>
              </c:extLst>
            </c:dLbl>
            <c:dLbl>
              <c:idx val="3"/>
              <c:layout>
                <c:manualLayout>
                  <c:x val="-1.286034558180228E-2"/>
                  <c:y val="5.4203120443277922E-2"/>
                </c:manualLayout>
              </c:layout>
              <c:showLegendKey val="1"/>
              <c:showVal val="1"/>
              <c:showCatName val="1"/>
              <c:showSerName val="0"/>
              <c:showPercent val="0"/>
              <c:showBubbleSize val="0"/>
              <c:extLst>
                <c:ext xmlns:c15="http://schemas.microsoft.com/office/drawing/2012/chart" uri="{CE6537A1-D6FC-4f65-9D91-7224C49458BB}"/>
              </c:extLst>
            </c:dLbl>
            <c:dLbl>
              <c:idx val="4"/>
              <c:layout>
                <c:manualLayout>
                  <c:x val="-1.3200678040244969E-2"/>
                  <c:y val="-8.5362715077282006E-2"/>
                </c:manualLayout>
              </c:layout>
              <c:showLegendKey val="1"/>
              <c:showVal val="1"/>
              <c:showCatName val="1"/>
              <c:showSerName val="0"/>
              <c:showPercent val="0"/>
              <c:showBubbleSize val="0"/>
              <c:extLst>
                <c:ext xmlns:c15="http://schemas.microsoft.com/office/drawing/2012/chart" uri="{CE6537A1-D6FC-4f65-9D91-7224C49458BB}"/>
              </c:extLst>
            </c:dLbl>
            <c:dLbl>
              <c:idx val="6"/>
              <c:layout>
                <c:manualLayout>
                  <c:x val="0.22834098862642227"/>
                  <c:y val="-0.13825495771361912"/>
                </c:manualLayout>
              </c:layout>
              <c:showLegendKey val="1"/>
              <c:showVal val="1"/>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lang="es-ES"/>
                </a:pPr>
                <a:endParaRPr lang="es-CO"/>
              </a:p>
            </c:txPr>
            <c:showLegendKey val="1"/>
            <c:showVal val="1"/>
            <c:showCatName val="1"/>
            <c:showSerName val="0"/>
            <c:showPercent val="0"/>
            <c:showBubbleSize val="0"/>
            <c:showLeaderLines val="1"/>
            <c:extLst>
              <c:ext xmlns:c15="http://schemas.microsoft.com/office/drawing/2012/chart" uri="{CE6537A1-D6FC-4f65-9D91-7224C49458BB}"/>
            </c:extLst>
          </c:dLbls>
          <c:cat>
            <c:strRef>
              <c:f>'Gráf-Deptos'!$L$81:$L$87</c:f>
              <c:strCache>
                <c:ptCount val="7"/>
                <c:pt idx="0">
                  <c:v>CERVEZA</c:v>
                </c:pt>
                <c:pt idx="1">
                  <c:v>LICORES</c:v>
                </c:pt>
                <c:pt idx="2">
                  <c:v>CIGARRILLOS Y TABACO</c:v>
                </c:pt>
                <c:pt idx="3">
                  <c:v>REGISTRO Y ANOTACION</c:v>
                </c:pt>
                <c:pt idx="4">
                  <c:v>VEHICULOS AUTOMOTORES</c:v>
                </c:pt>
                <c:pt idx="5">
                  <c:v>SOBRETASA A LA GASOLINA</c:v>
                </c:pt>
                <c:pt idx="6">
                  <c:v>OTROS</c:v>
                </c:pt>
              </c:strCache>
            </c:strRef>
          </c:cat>
          <c:val>
            <c:numRef>
              <c:f>'Gráf-Deptos'!$N$81:$N$87</c:f>
              <c:numCache>
                <c:formatCode>_(* #,##0.0_);_(* \(#,##0.0\);_(* "-"??_);_(@_)</c:formatCode>
                <c:ptCount val="7"/>
                <c:pt idx="0">
                  <c:v>44.607413241691582</c:v>
                </c:pt>
                <c:pt idx="1">
                  <c:v>9.4512937923360738</c:v>
                </c:pt>
                <c:pt idx="2">
                  <c:v>3.9614532932096247</c:v>
                </c:pt>
                <c:pt idx="3">
                  <c:v>5.3256656219366505</c:v>
                </c:pt>
                <c:pt idx="4">
                  <c:v>0.61215796630824559</c:v>
                </c:pt>
                <c:pt idx="5">
                  <c:v>4.3777855080155419</c:v>
                </c:pt>
                <c:pt idx="6">
                  <c:v>31.664230576502277</c:v>
                </c:pt>
              </c:numCache>
            </c:numRef>
          </c:val>
        </c:ser>
        <c:dLbls>
          <c:showLegendKey val="0"/>
          <c:showVal val="0"/>
          <c:showCatName val="0"/>
          <c:showSerName val="0"/>
          <c:showPercent val="0"/>
          <c:showBubbleSize val="0"/>
          <c:showLeaderLines val="1"/>
        </c:dLbls>
      </c:pie3DChart>
    </c:plotArea>
    <c:plotVisOnly val="1"/>
    <c:dispBlanksAs val="zero"/>
    <c:showDLblsOverMax val="0"/>
  </c:chart>
  <c:spPr>
    <a:ln cmpd="sng"/>
  </c:spPr>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1"/>
      <c:rotY val="20"/>
      <c:depthPercent val="70"/>
      <c:rAngAx val="1"/>
    </c:view3D>
    <c:floor>
      <c:thickness val="0"/>
    </c:floor>
    <c:sideWall>
      <c:thickness val="0"/>
    </c:sideWall>
    <c:backWall>
      <c:thickness val="0"/>
    </c:backWall>
    <c:plotArea>
      <c:layout>
        <c:manualLayout>
          <c:layoutTarget val="inner"/>
          <c:xMode val="edge"/>
          <c:yMode val="edge"/>
          <c:x val="0.15901060070671391"/>
          <c:y val="3.4837636574498052E-2"/>
          <c:w val="0.81861012956419565"/>
          <c:h val="0.72305512179438425"/>
        </c:manualLayout>
      </c:layout>
      <c:bar3DChart>
        <c:barDir val="col"/>
        <c:grouping val="clustered"/>
        <c:varyColors val="0"/>
        <c:ser>
          <c:idx val="0"/>
          <c:order val="0"/>
          <c:tx>
            <c:strRef>
              <c:f>'Histórico Mpios'!$A$18</c:f>
              <c:strCache>
                <c:ptCount val="1"/>
                <c:pt idx="0">
                  <c:v>3.  GASTOS CORRIENTES</c:v>
                </c:pt>
              </c:strCache>
            </c:strRef>
          </c:tx>
          <c:invertIfNegative val="0"/>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2013</c:v>
                </c:pt>
                <c:pt idx="1">
                  <c:v>2014</c:v>
                </c:pt>
                <c:pt idx="2">
                  <c:v>2015</c:v>
                </c:pt>
                <c:pt idx="3">
                  <c:v>2016</c:v>
                </c:pt>
              </c:numCache>
            </c:numRef>
          </c:cat>
          <c:val>
            <c:numRef>
              <c:f>'Histórico Mpios'!$F$18:$I$18</c:f>
              <c:numCache>
                <c:formatCode>_(* #,##0_);_(* \(#,##0\);_(* "-"??_);_(@_)</c:formatCode>
                <c:ptCount val="4"/>
                <c:pt idx="0">
                  <c:v>8956.7522990320977</c:v>
                </c:pt>
                <c:pt idx="1">
                  <c:v>8960.9605548318723</c:v>
                </c:pt>
                <c:pt idx="2">
                  <c:v>10877.890153125001</c:v>
                </c:pt>
                <c:pt idx="3">
                  <c:v>13872.551889999999</c:v>
                </c:pt>
              </c:numCache>
            </c:numRef>
          </c:val>
          <c:shape val="cylinder"/>
        </c:ser>
        <c:ser>
          <c:idx val="1"/>
          <c:order val="1"/>
          <c:tx>
            <c:strRef>
              <c:f>'Histórico Mpios'!$A$30</c:f>
              <c:strCache>
                <c:ptCount val="1"/>
                <c:pt idx="0">
                  <c:v>4.   GASTOS DE CAPITAL (INVERSION)</c:v>
                </c:pt>
              </c:strCache>
            </c:strRef>
          </c:tx>
          <c:invertIfNegative val="0"/>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2013</c:v>
                </c:pt>
                <c:pt idx="1">
                  <c:v>2014</c:v>
                </c:pt>
                <c:pt idx="2">
                  <c:v>2015</c:v>
                </c:pt>
                <c:pt idx="3">
                  <c:v>2016</c:v>
                </c:pt>
              </c:numCache>
            </c:numRef>
          </c:cat>
          <c:val>
            <c:numRef>
              <c:f>'Histórico Mpios'!$F$30:$I$30</c:f>
              <c:numCache>
                <c:formatCode>_(* #,##0_);_(* \(#,##0\);_(* "-"??_);_(@_)</c:formatCode>
                <c:ptCount val="4"/>
                <c:pt idx="0">
                  <c:v>156809.89566211263</c:v>
                </c:pt>
                <c:pt idx="1">
                  <c:v>207353.08343869352</c:v>
                </c:pt>
                <c:pt idx="2">
                  <c:v>184751.46793593751</c:v>
                </c:pt>
                <c:pt idx="3">
                  <c:v>148451.71920199998</c:v>
                </c:pt>
              </c:numCache>
            </c:numRef>
          </c:val>
          <c:shape val="cylinder"/>
        </c:ser>
        <c:dLbls>
          <c:showLegendKey val="0"/>
          <c:showVal val="0"/>
          <c:showCatName val="0"/>
          <c:showSerName val="0"/>
          <c:showPercent val="0"/>
          <c:showBubbleSize val="0"/>
        </c:dLbls>
        <c:gapWidth val="10"/>
        <c:shape val="box"/>
        <c:axId val="328887688"/>
        <c:axId val="328888472"/>
        <c:axId val="0"/>
      </c:bar3DChart>
      <c:catAx>
        <c:axId val="328887688"/>
        <c:scaling>
          <c:orientation val="minMax"/>
        </c:scaling>
        <c:delete val="0"/>
        <c:axPos val="b"/>
        <c:numFmt formatCode="General" sourceLinked="1"/>
        <c:majorTickMark val="out"/>
        <c:minorTickMark val="none"/>
        <c:tickLblPos val="low"/>
        <c:txPr>
          <a:bodyPr rot="0" vert="horz"/>
          <a:lstStyle/>
          <a:p>
            <a:pPr>
              <a:defRPr lang="es-ES"/>
            </a:pPr>
            <a:endParaRPr lang="es-CO"/>
          </a:p>
        </c:txPr>
        <c:crossAx val="328888472"/>
        <c:crosses val="autoZero"/>
        <c:auto val="1"/>
        <c:lblAlgn val="ctr"/>
        <c:lblOffset val="100"/>
        <c:tickLblSkip val="1"/>
        <c:tickMarkSkip val="1"/>
        <c:noMultiLvlLbl val="0"/>
      </c:catAx>
      <c:valAx>
        <c:axId val="328888472"/>
        <c:scaling>
          <c:orientation val="minMax"/>
        </c:scaling>
        <c:delete val="0"/>
        <c:axPos val="l"/>
        <c:majorGridlines/>
        <c:title>
          <c:tx>
            <c:rich>
              <a:bodyPr/>
              <a:lstStyle/>
              <a:p>
                <a:pPr>
                  <a:defRPr lang="es-ES"/>
                </a:pPr>
                <a:r>
                  <a:rPr lang="es-CO"/>
                  <a:t>Mill $ Constantes, 2010</a:t>
                </a:r>
              </a:p>
            </c:rich>
          </c:tx>
          <c:layout>
            <c:manualLayout>
              <c:xMode val="edge"/>
              <c:yMode val="edge"/>
              <c:x val="2.1201413427562713E-2"/>
              <c:y val="0.24550929636790006"/>
            </c:manualLayout>
          </c:layout>
          <c:overlay val="0"/>
        </c:title>
        <c:numFmt formatCode="General" sourceLinked="0"/>
        <c:majorTickMark val="out"/>
        <c:minorTickMark val="none"/>
        <c:tickLblPos val="nextTo"/>
        <c:txPr>
          <a:bodyPr rot="0" vert="horz"/>
          <a:lstStyle/>
          <a:p>
            <a:pPr>
              <a:defRPr lang="es-ES"/>
            </a:pPr>
            <a:endParaRPr lang="es-CO"/>
          </a:p>
        </c:txPr>
        <c:crossAx val="328887688"/>
        <c:crosses val="autoZero"/>
        <c:crossBetween val="between"/>
      </c:valAx>
    </c:plotArea>
    <c:legend>
      <c:legendPos val="r"/>
      <c:layout>
        <c:manualLayout>
          <c:xMode val="edge"/>
          <c:yMode val="edge"/>
          <c:x val="1.353755692199252E-2"/>
          <c:y val="0.86145341490245009"/>
          <c:w val="0.97264110733635645"/>
          <c:h val="8.4302325581395568E-2"/>
        </c:manualLayout>
      </c:layout>
      <c:overlay val="0"/>
      <c:txPr>
        <a:bodyPr/>
        <a:lstStyle/>
        <a:p>
          <a:pPr>
            <a:defRPr lang="es-ES" sz="1400"/>
          </a:pPr>
          <a:endParaRPr lang="es-CO"/>
        </a:p>
      </c:txPr>
    </c:legend>
    <c:plotVisOnly val="1"/>
    <c:dispBlanksAs val="gap"/>
    <c:showDLblsOverMax val="0"/>
  </c:chart>
  <c:printSettings>
    <c:headerFooter alignWithMargins="0"/>
    <c:pageMargins b="1" l="0.75000000000001066" r="0.75000000000001066"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87030829206341"/>
          <c:y val="3.6103487064117E-2"/>
          <c:w val="0.81458795919659122"/>
          <c:h val="0.79130800239259735"/>
        </c:manualLayout>
      </c:layout>
      <c:lineChart>
        <c:grouping val="standard"/>
        <c:varyColors val="0"/>
        <c:ser>
          <c:idx val="2"/>
          <c:order val="0"/>
          <c:tx>
            <c:strRef>
              <c:f>'Histórico Mpios'!$A$24</c:f>
              <c:strCache>
                <c:ptCount val="1"/>
                <c:pt idx="0">
                  <c:v>DESAHORRO / AHORRO CORRIENTE (1 - 3)</c:v>
                </c:pt>
              </c:strCache>
            </c:strRef>
          </c:tx>
          <c:dLbls>
            <c:spPr>
              <a:noFill/>
              <a:ln>
                <a:noFill/>
              </a:ln>
              <a:effectLst/>
            </c:spPr>
            <c:txPr>
              <a:bodyPr/>
              <a:lstStyle/>
              <a:p>
                <a:pPr>
                  <a:defRPr lang="es-ES"/>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2013</c:v>
                </c:pt>
                <c:pt idx="1">
                  <c:v>2014</c:v>
                </c:pt>
                <c:pt idx="2">
                  <c:v>2015</c:v>
                </c:pt>
                <c:pt idx="3">
                  <c:v>2016</c:v>
                </c:pt>
              </c:numCache>
            </c:numRef>
          </c:cat>
          <c:val>
            <c:numRef>
              <c:f>'Histórico Mpios'!$F$24:$I$24</c:f>
              <c:numCache>
                <c:formatCode>_(* #,##0_);_(* \(#,##0\);_(* "-"??_);_(@_)</c:formatCode>
                <c:ptCount val="4"/>
                <c:pt idx="0">
                  <c:v>17553.188036106756</c:v>
                </c:pt>
                <c:pt idx="1">
                  <c:v>14057.461875958126</c:v>
                </c:pt>
                <c:pt idx="2">
                  <c:v>9789.1010739257817</c:v>
                </c:pt>
                <c:pt idx="3">
                  <c:v>5477.4378760000072</c:v>
                </c:pt>
              </c:numCache>
            </c:numRef>
          </c:val>
          <c:smooth val="1"/>
        </c:ser>
        <c:ser>
          <c:idx val="3"/>
          <c:order val="1"/>
          <c:tx>
            <c:strRef>
              <c:f>'Histórico Mpios'!$A$33</c:f>
              <c:strCache>
                <c:ptCount val="1"/>
                <c:pt idx="0">
                  <c:v>DEFICIT O SUPERAVIT TOTAL (1 - 3 + 2 - 4)</c:v>
                </c:pt>
              </c:strCache>
            </c:strRef>
          </c:tx>
          <c:dLbls>
            <c:spPr>
              <a:noFill/>
              <a:ln>
                <a:noFill/>
              </a:ln>
              <a:effectLst/>
            </c:spPr>
            <c:txPr>
              <a:bodyPr/>
              <a:lstStyle/>
              <a:p>
                <a:pPr>
                  <a:defRPr lang="es-ES"/>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2013</c:v>
                </c:pt>
                <c:pt idx="1">
                  <c:v>2014</c:v>
                </c:pt>
                <c:pt idx="2">
                  <c:v>2015</c:v>
                </c:pt>
                <c:pt idx="3">
                  <c:v>2016</c:v>
                </c:pt>
              </c:numCache>
            </c:numRef>
          </c:cat>
          <c:val>
            <c:numRef>
              <c:f>'Histórico Mpios'!$F$33:$I$33</c:f>
              <c:numCache>
                <c:formatCode>_(* #,##0_);_(* \(#,##0\);_(* "-"??_);_(@_)</c:formatCode>
                <c:ptCount val="4"/>
                <c:pt idx="0">
                  <c:v>-75361.587915834214</c:v>
                </c:pt>
                <c:pt idx="1">
                  <c:v>-11180.085057249793</c:v>
                </c:pt>
                <c:pt idx="2">
                  <c:v>-33004.758038085936</c:v>
                </c:pt>
                <c:pt idx="3">
                  <c:v>17742.284805000032</c:v>
                </c:pt>
              </c:numCache>
            </c:numRef>
          </c:val>
          <c:smooth val="1"/>
        </c:ser>
        <c:dLbls>
          <c:showLegendKey val="0"/>
          <c:showVal val="0"/>
          <c:showCatName val="0"/>
          <c:showSerName val="0"/>
          <c:showPercent val="0"/>
          <c:showBubbleSize val="0"/>
        </c:dLbls>
        <c:marker val="1"/>
        <c:smooth val="0"/>
        <c:axId val="378961992"/>
        <c:axId val="378957288"/>
      </c:lineChart>
      <c:catAx>
        <c:axId val="378961992"/>
        <c:scaling>
          <c:orientation val="minMax"/>
        </c:scaling>
        <c:delete val="0"/>
        <c:axPos val="b"/>
        <c:numFmt formatCode="General" sourceLinked="1"/>
        <c:majorTickMark val="out"/>
        <c:minorTickMark val="none"/>
        <c:tickLblPos val="nextTo"/>
        <c:txPr>
          <a:bodyPr rot="0" vert="horz"/>
          <a:lstStyle/>
          <a:p>
            <a:pPr>
              <a:defRPr lang="es-ES"/>
            </a:pPr>
            <a:endParaRPr lang="es-CO"/>
          </a:p>
        </c:txPr>
        <c:crossAx val="378957288"/>
        <c:crosses val="autoZero"/>
        <c:auto val="1"/>
        <c:lblAlgn val="ctr"/>
        <c:lblOffset val="100"/>
        <c:tickLblSkip val="1"/>
        <c:tickMarkSkip val="1"/>
        <c:noMultiLvlLbl val="0"/>
      </c:catAx>
      <c:valAx>
        <c:axId val="378957288"/>
        <c:scaling>
          <c:orientation val="minMax"/>
        </c:scaling>
        <c:delete val="0"/>
        <c:axPos val="l"/>
        <c:title>
          <c:tx>
            <c:rich>
              <a:bodyPr/>
              <a:lstStyle/>
              <a:p>
                <a:pPr>
                  <a:defRPr lang="es-ES"/>
                </a:pPr>
                <a:r>
                  <a:rPr lang="es-CO"/>
                  <a:t>Mill $ Constantes, 2010</a:t>
                </a:r>
              </a:p>
            </c:rich>
          </c:tx>
          <c:layout>
            <c:manualLayout>
              <c:xMode val="edge"/>
              <c:yMode val="edge"/>
              <c:x val="2.7303754266211604E-2"/>
              <c:y val="0.22222290841095838"/>
            </c:manualLayout>
          </c:layout>
          <c:overlay val="0"/>
        </c:title>
        <c:numFmt formatCode="_(* #,##0_);_(* \(#,##0\);_(* &quot;-&quot;??_);_(@_)" sourceLinked="1"/>
        <c:majorTickMark val="out"/>
        <c:minorTickMark val="none"/>
        <c:tickLblPos val="nextTo"/>
        <c:txPr>
          <a:bodyPr rot="0" vert="horz"/>
          <a:lstStyle/>
          <a:p>
            <a:pPr>
              <a:defRPr lang="es-ES"/>
            </a:pPr>
            <a:endParaRPr lang="es-CO"/>
          </a:p>
        </c:txPr>
        <c:crossAx val="378961992"/>
        <c:crosses val="autoZero"/>
        <c:crossBetween val="between"/>
      </c:valAx>
    </c:plotArea>
    <c:legend>
      <c:legendPos val="r"/>
      <c:layout>
        <c:manualLayout>
          <c:xMode val="edge"/>
          <c:yMode val="edge"/>
          <c:x val="1.0818664731754938E-2"/>
          <c:y val="0.87556922051411301"/>
          <c:w val="0.95228305683798142"/>
          <c:h val="7.9302448230757813E-2"/>
        </c:manualLayout>
      </c:layout>
      <c:overlay val="0"/>
      <c:txPr>
        <a:bodyPr/>
        <a:lstStyle/>
        <a:p>
          <a:pPr>
            <a:defRPr lang="es-ES"/>
          </a:pPr>
          <a:endParaRPr lang="es-CO"/>
        </a:p>
      </c:txPr>
    </c:legend>
    <c:plotVisOnly val="1"/>
    <c:dispBlanksAs val="gap"/>
    <c:showDLblsOverMax val="0"/>
  </c:chart>
  <c:printSettings>
    <c:headerFooter alignWithMargins="0"/>
    <c:pageMargins b="1" l="0.75000000000001066" r="0.75000000000001066" t="1" header="0" footer="0"/>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9"/>
      <c:rotY val="20"/>
      <c:depthPercent val="70"/>
      <c:rAngAx val="1"/>
    </c:view3D>
    <c:floor>
      <c:thickness val="0"/>
    </c:floor>
    <c:sideWall>
      <c:thickness val="0"/>
    </c:sideWall>
    <c:backWall>
      <c:thickness val="0"/>
    </c:backWall>
    <c:plotArea>
      <c:layout>
        <c:manualLayout>
          <c:layoutTarget val="inner"/>
          <c:xMode val="edge"/>
          <c:yMode val="edge"/>
          <c:x val="0.11072056239015818"/>
          <c:y val="5.2388951379720834E-2"/>
          <c:w val="0.86818980667840384"/>
          <c:h val="0.69844280234520062"/>
        </c:manualLayout>
      </c:layout>
      <c:bar3DChart>
        <c:barDir val="col"/>
        <c:grouping val="stacked"/>
        <c:varyColors val="0"/>
        <c:ser>
          <c:idx val="3"/>
          <c:order val="0"/>
          <c:tx>
            <c:strRef>
              <c:f>'Histórico Mpios'!$A$20</c:f>
              <c:strCache>
                <c:ptCount val="1"/>
                <c:pt idx="0">
                  <c:v>3.1.1.  SERVICIOS PERSONALES</c:v>
                </c:pt>
              </c:strCache>
            </c:strRef>
          </c:tx>
          <c:invertIfNegative val="0"/>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2013</c:v>
                </c:pt>
                <c:pt idx="1">
                  <c:v>2014</c:v>
                </c:pt>
                <c:pt idx="2">
                  <c:v>2015</c:v>
                </c:pt>
                <c:pt idx="3">
                  <c:v>2016</c:v>
                </c:pt>
              </c:numCache>
            </c:numRef>
          </c:cat>
          <c:val>
            <c:numRef>
              <c:f>'Histórico Mpios'!$F$20:$I$20</c:f>
              <c:numCache>
                <c:formatCode>_(* #,##0_);_(* \(#,##0\);_(* "-"??_);_(@_)</c:formatCode>
                <c:ptCount val="4"/>
                <c:pt idx="0">
                  <c:v>4540.9754594339856</c:v>
                </c:pt>
                <c:pt idx="1">
                  <c:v>5185.6799095260003</c:v>
                </c:pt>
                <c:pt idx="2">
                  <c:v>6493.09261171875</c:v>
                </c:pt>
                <c:pt idx="3">
                  <c:v>9476.7493119999981</c:v>
                </c:pt>
              </c:numCache>
            </c:numRef>
          </c:val>
        </c:ser>
        <c:ser>
          <c:idx val="2"/>
          <c:order val="1"/>
          <c:tx>
            <c:strRef>
              <c:f>'Histórico Mpios'!$A$21</c:f>
              <c:strCache>
                <c:ptCount val="1"/>
                <c:pt idx="0">
                  <c:v>3.1.2. GASTOS GENERALES</c:v>
                </c:pt>
              </c:strCache>
            </c:strRef>
          </c:tx>
          <c:invertIfNegative val="0"/>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2013</c:v>
                </c:pt>
                <c:pt idx="1">
                  <c:v>2014</c:v>
                </c:pt>
                <c:pt idx="2">
                  <c:v>2015</c:v>
                </c:pt>
                <c:pt idx="3">
                  <c:v>2016</c:v>
                </c:pt>
              </c:numCache>
            </c:numRef>
          </c:cat>
          <c:val>
            <c:numRef>
              <c:f>'Histórico Mpios'!$F$21:$I$21</c:f>
              <c:numCache>
                <c:formatCode>_(* #,##0_);_(* \(#,##0\);_(* "-"??_);_(@_)</c:formatCode>
                <c:ptCount val="4"/>
                <c:pt idx="0">
                  <c:v>847.16732636783684</c:v>
                </c:pt>
                <c:pt idx="1">
                  <c:v>1063.1307447918721</c:v>
                </c:pt>
                <c:pt idx="2">
                  <c:v>1112.109630029297</c:v>
                </c:pt>
                <c:pt idx="3">
                  <c:v>1131.5519670000003</c:v>
                </c:pt>
              </c:numCache>
            </c:numRef>
          </c:val>
        </c:ser>
        <c:ser>
          <c:idx val="1"/>
          <c:order val="2"/>
          <c:tx>
            <c:strRef>
              <c:f>'Histórico Mpios'!$A$22</c:f>
              <c:strCache>
                <c:ptCount val="1"/>
                <c:pt idx="0">
                  <c:v>3.1.3. TRANSFERENCIAS PAGADAS</c:v>
                </c:pt>
              </c:strCache>
            </c:strRef>
          </c:tx>
          <c:invertIfNegative val="0"/>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2013</c:v>
                </c:pt>
                <c:pt idx="1">
                  <c:v>2014</c:v>
                </c:pt>
                <c:pt idx="2">
                  <c:v>2015</c:v>
                </c:pt>
                <c:pt idx="3">
                  <c:v>2016</c:v>
                </c:pt>
              </c:numCache>
            </c:numRef>
          </c:cat>
          <c:val>
            <c:numRef>
              <c:f>'Histórico Mpios'!$F$22:$I$22</c:f>
              <c:numCache>
                <c:formatCode>_(* #,##0_);_(* \(#,##0\);_(* "-"??_);_(@_)</c:formatCode>
                <c:ptCount val="4"/>
                <c:pt idx="0">
                  <c:v>3568.6095132302748</c:v>
                </c:pt>
                <c:pt idx="1">
                  <c:v>2712.1499005140004</c:v>
                </c:pt>
                <c:pt idx="2">
                  <c:v>2936.6793920654245</c:v>
                </c:pt>
                <c:pt idx="3">
                  <c:v>2526.416995</c:v>
                </c:pt>
              </c:numCache>
            </c:numRef>
          </c:val>
        </c:ser>
        <c:dLbls>
          <c:showLegendKey val="0"/>
          <c:showVal val="0"/>
          <c:showCatName val="0"/>
          <c:showSerName val="0"/>
          <c:showPercent val="0"/>
          <c:showBubbleSize val="0"/>
        </c:dLbls>
        <c:gapWidth val="70"/>
        <c:shape val="cylinder"/>
        <c:axId val="378956896"/>
        <c:axId val="378961600"/>
        <c:axId val="0"/>
      </c:bar3DChart>
      <c:catAx>
        <c:axId val="378956896"/>
        <c:scaling>
          <c:orientation val="minMax"/>
        </c:scaling>
        <c:delete val="0"/>
        <c:axPos val="b"/>
        <c:numFmt formatCode="General" sourceLinked="1"/>
        <c:majorTickMark val="out"/>
        <c:minorTickMark val="none"/>
        <c:tickLblPos val="low"/>
        <c:txPr>
          <a:bodyPr rot="0" vert="horz"/>
          <a:lstStyle/>
          <a:p>
            <a:pPr>
              <a:defRPr lang="es-ES"/>
            </a:pPr>
            <a:endParaRPr lang="es-CO"/>
          </a:p>
        </c:txPr>
        <c:crossAx val="378961600"/>
        <c:crosses val="autoZero"/>
        <c:auto val="1"/>
        <c:lblAlgn val="ctr"/>
        <c:lblOffset val="100"/>
        <c:tickLblSkip val="1"/>
        <c:tickMarkSkip val="1"/>
        <c:noMultiLvlLbl val="0"/>
      </c:catAx>
      <c:valAx>
        <c:axId val="378961600"/>
        <c:scaling>
          <c:orientation val="minMax"/>
        </c:scaling>
        <c:delete val="0"/>
        <c:axPos val="l"/>
        <c:majorGridlines/>
        <c:title>
          <c:tx>
            <c:rich>
              <a:bodyPr/>
              <a:lstStyle/>
              <a:p>
                <a:pPr>
                  <a:defRPr lang="es-ES"/>
                </a:pPr>
                <a:r>
                  <a:rPr lang="es-CO"/>
                  <a:t>Mill $ Constantes, 2010</a:t>
                </a:r>
              </a:p>
            </c:rich>
          </c:tx>
          <c:layout>
            <c:manualLayout>
              <c:xMode val="edge"/>
              <c:yMode val="edge"/>
              <c:x val="8.7873462214411256E-3"/>
              <c:y val="0.2857146345078958"/>
            </c:manualLayout>
          </c:layout>
          <c:overlay val="0"/>
        </c:title>
        <c:numFmt formatCode="General" sourceLinked="0"/>
        <c:majorTickMark val="out"/>
        <c:minorTickMark val="none"/>
        <c:tickLblPos val="nextTo"/>
        <c:txPr>
          <a:bodyPr rot="0" vert="horz"/>
          <a:lstStyle/>
          <a:p>
            <a:pPr>
              <a:defRPr lang="es-ES"/>
            </a:pPr>
            <a:endParaRPr lang="es-CO"/>
          </a:p>
        </c:txPr>
        <c:crossAx val="378956896"/>
        <c:crosses val="autoZero"/>
        <c:crossBetween val="between"/>
      </c:valAx>
    </c:plotArea>
    <c:legend>
      <c:legendPos val="r"/>
      <c:layout>
        <c:manualLayout>
          <c:xMode val="edge"/>
          <c:yMode val="edge"/>
          <c:x val="2.0503807850029615E-2"/>
          <c:y val="0.81540901794715581"/>
          <c:w val="0.97012302284710061"/>
          <c:h val="0.16394136779414273"/>
        </c:manualLayout>
      </c:layout>
      <c:overlay val="0"/>
      <c:txPr>
        <a:bodyPr/>
        <a:lstStyle/>
        <a:p>
          <a:pPr>
            <a:defRPr lang="es-ES" sz="1000"/>
          </a:pPr>
          <a:endParaRPr lang="es-CO"/>
        </a:p>
      </c:txPr>
    </c:legend>
    <c:plotVisOnly val="1"/>
    <c:dispBlanksAs val="gap"/>
    <c:showDLblsOverMax val="0"/>
  </c:chart>
  <c:printSettings>
    <c:headerFooter alignWithMargins="0"/>
    <c:pageMargins b="1" l="0.75000000000001066" r="0.75000000000001066"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hPercent val="45"/>
      <c:rotY val="20"/>
      <c:depthPercent val="70"/>
      <c:rAngAx val="1"/>
    </c:view3D>
    <c:floor>
      <c:thickness val="0"/>
    </c:floor>
    <c:sideWall>
      <c:thickness val="0"/>
    </c:sideWall>
    <c:backWall>
      <c:thickness val="0"/>
    </c:backWall>
    <c:plotArea>
      <c:layout>
        <c:manualLayout>
          <c:layoutTarget val="inner"/>
          <c:xMode val="edge"/>
          <c:yMode val="edge"/>
          <c:x val="0.13927232211901597"/>
          <c:y val="5.7707193380488513E-2"/>
          <c:w val="0.82867132867132864"/>
          <c:h val="0.76046739920220829"/>
        </c:manualLayout>
      </c:layout>
      <c:bar3DChart>
        <c:barDir val="col"/>
        <c:grouping val="clustered"/>
        <c:varyColors val="0"/>
        <c:ser>
          <c:idx val="0"/>
          <c:order val="0"/>
          <c:tx>
            <c:strRef>
              <c:f>'Histórico Mpios'!$A$39</c:f>
              <c:strCache>
                <c:ptCount val="1"/>
                <c:pt idx="0">
                  <c:v>SALDO DE DEUDA</c:v>
                </c:pt>
              </c:strCache>
            </c:strRef>
          </c:tx>
          <c:invertIfNegative val="0"/>
          <c:dLbls>
            <c:dLbl>
              <c:idx val="0"/>
              <c:layout>
                <c:manualLayout>
                  <c:x val="2.7298790448396792E-2"/>
                  <c:y val="-5.8675456265641218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0327258043793474E-2"/>
                  <c:y val="-6.493316242446441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2866215149679913E-2"/>
                  <c:y val="-6.341726179576393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2398362792063585E-2"/>
                  <c:y val="-6.3802722334127024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34190824077729981"/>
                  <c:y val="-0.21495047574118581"/>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29549416134226486"/>
                  <c:y val="-0.49685571822245805"/>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Mode val="edge"/>
                  <c:yMode val="edge"/>
                  <c:x val="0.61188811188811265"/>
                  <c:y val="0.30523255813953476"/>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Mode val="edge"/>
                  <c:yMode val="edge"/>
                  <c:x val="0.69405594405594406"/>
                  <c:y val="0.3633720930232676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Mode val="edge"/>
                  <c:yMode val="edge"/>
                  <c:x val="0.65559440559442128"/>
                  <c:y val="0.38662790697675292"/>
                </c:manualLayout>
              </c:layout>
              <c:showLegendKey val="0"/>
              <c:showVal val="1"/>
              <c:showCatName val="0"/>
              <c:showSerName val="0"/>
              <c:showPercent val="0"/>
              <c:showBubbleSize val="0"/>
              <c:extLst>
                <c:ext xmlns:c15="http://schemas.microsoft.com/office/drawing/2012/chart" uri="{CE6537A1-D6FC-4f65-9D91-7224C49458BB}"/>
              </c:extLst>
            </c:dLbl>
            <c:numFmt formatCode="_ * #,##0_ ;_ * \-#,##0_ ;_ * &quot;-&quot;??_ ;_ @_ " sourceLinked="0"/>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2013</c:v>
                </c:pt>
                <c:pt idx="1">
                  <c:v>2014</c:v>
                </c:pt>
                <c:pt idx="2">
                  <c:v>2015</c:v>
                </c:pt>
                <c:pt idx="3">
                  <c:v>2016</c:v>
                </c:pt>
              </c:numCache>
            </c:numRef>
          </c:cat>
          <c:val>
            <c:numRef>
              <c:f>'Histórico Mpios'!$F$39:$I$39</c:f>
              <c:numCache>
                <c:formatCode>_(* #,##0_);_(* \(#,##0\);_(* "-"??_);_(@_)</c:formatCode>
                <c:ptCount val="4"/>
                <c:pt idx="0">
                  <c:v>0</c:v>
                </c:pt>
                <c:pt idx="1">
                  <c:v>0</c:v>
                </c:pt>
                <c:pt idx="2">
                  <c:v>7252.8510000000006</c:v>
                </c:pt>
                <c:pt idx="3">
                  <c:v>6290</c:v>
                </c:pt>
              </c:numCache>
            </c:numRef>
          </c:val>
          <c:shape val="cylinder"/>
        </c:ser>
        <c:dLbls>
          <c:showLegendKey val="0"/>
          <c:showVal val="0"/>
          <c:showCatName val="0"/>
          <c:showSerName val="0"/>
          <c:showPercent val="0"/>
          <c:showBubbleSize val="0"/>
        </c:dLbls>
        <c:gapWidth val="20"/>
        <c:shape val="box"/>
        <c:axId val="378962384"/>
        <c:axId val="378963952"/>
        <c:axId val="0"/>
      </c:bar3DChart>
      <c:catAx>
        <c:axId val="378962384"/>
        <c:scaling>
          <c:orientation val="minMax"/>
        </c:scaling>
        <c:delete val="0"/>
        <c:axPos val="b"/>
        <c:numFmt formatCode="General" sourceLinked="1"/>
        <c:majorTickMark val="out"/>
        <c:minorTickMark val="none"/>
        <c:tickLblPos val="low"/>
        <c:txPr>
          <a:bodyPr rot="0" vert="horz"/>
          <a:lstStyle/>
          <a:p>
            <a:pPr>
              <a:defRPr lang="es-ES" sz="1100"/>
            </a:pPr>
            <a:endParaRPr lang="es-CO"/>
          </a:p>
        </c:txPr>
        <c:crossAx val="378963952"/>
        <c:crosses val="autoZero"/>
        <c:auto val="1"/>
        <c:lblAlgn val="ctr"/>
        <c:lblOffset val="100"/>
        <c:tickLblSkip val="1"/>
        <c:tickMarkSkip val="1"/>
        <c:noMultiLvlLbl val="0"/>
      </c:catAx>
      <c:valAx>
        <c:axId val="378963952"/>
        <c:scaling>
          <c:orientation val="minMax"/>
        </c:scaling>
        <c:delete val="0"/>
        <c:axPos val="l"/>
        <c:majorGridlines/>
        <c:title>
          <c:tx>
            <c:rich>
              <a:bodyPr/>
              <a:lstStyle/>
              <a:p>
                <a:pPr>
                  <a:defRPr lang="es-ES"/>
                </a:pPr>
                <a:r>
                  <a:rPr lang="es-CO"/>
                  <a:t>Mill $ Constantes, 2010</a:t>
                </a:r>
              </a:p>
            </c:rich>
          </c:tx>
          <c:layout>
            <c:manualLayout>
              <c:xMode val="edge"/>
              <c:yMode val="edge"/>
              <c:x val="2.9720279720279852E-2"/>
              <c:y val="0.33720930232558138"/>
            </c:manualLayout>
          </c:layout>
          <c:overlay val="0"/>
        </c:title>
        <c:numFmt formatCode="_(* #,##0_);_(* \(#,##0\);_(* &quot;-&quot;??_);_(@_)" sourceLinked="1"/>
        <c:majorTickMark val="out"/>
        <c:minorTickMark val="none"/>
        <c:tickLblPos val="nextTo"/>
        <c:txPr>
          <a:bodyPr rot="0" vert="horz"/>
          <a:lstStyle/>
          <a:p>
            <a:pPr>
              <a:defRPr lang="es-ES"/>
            </a:pPr>
            <a:endParaRPr lang="es-CO"/>
          </a:p>
        </c:txPr>
        <c:crossAx val="378962384"/>
        <c:crosses val="autoZero"/>
        <c:crossBetween val="between"/>
      </c:valAx>
    </c:plotArea>
    <c:plotVisOnly val="1"/>
    <c:dispBlanksAs val="gap"/>
    <c:showDLblsOverMax val="0"/>
  </c:chart>
  <c:printSettings>
    <c:headerFooter alignWithMargins="0"/>
    <c:pageMargins b="1" l="0.75000000000001066" r="0.75000000000001066"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53389723306818"/>
          <c:y val="2.3550489579253247E-2"/>
          <c:w val="0.86009911269094785"/>
          <c:h val="0.7773733950755527"/>
        </c:manualLayout>
      </c:layout>
      <c:lineChart>
        <c:grouping val="standard"/>
        <c:varyColors val="0"/>
        <c:ser>
          <c:idx val="0"/>
          <c:order val="0"/>
          <c:tx>
            <c:strRef>
              <c:f>'Histórico Mpios'!$A$9</c:f>
              <c:strCache>
                <c:ptCount val="1"/>
                <c:pt idx="0">
                  <c:v>1.1.1. PREDIAL</c:v>
                </c:pt>
              </c:strCache>
            </c:strRef>
          </c:tx>
          <c:marker>
            <c:symbol val="none"/>
          </c:marker>
          <c:dLbls>
            <c:dLbl>
              <c:idx val="0"/>
              <c:layout>
                <c:manualLayout>
                  <c:x val="-2.5331030512377832E-2"/>
                  <c:y val="-3.571428571428571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6.9084628670121138E-3"/>
                  <c:y val="-4.7619047619047623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514104778353483E-2"/>
                  <c:y val="-5.5555555555555455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2013</c:v>
                </c:pt>
                <c:pt idx="1">
                  <c:v>2014</c:v>
                </c:pt>
                <c:pt idx="2">
                  <c:v>2015</c:v>
                </c:pt>
                <c:pt idx="3">
                  <c:v>2016</c:v>
                </c:pt>
              </c:numCache>
            </c:numRef>
          </c:cat>
          <c:val>
            <c:numRef>
              <c:f>'Histórico Mpios'!$F$9:$I$9</c:f>
              <c:numCache>
                <c:formatCode>_(* #,##0_);_(* \(#,##0\);_(* "-"??_);_(@_)</c:formatCode>
                <c:ptCount val="4"/>
                <c:pt idx="0">
                  <c:v>2598.6263670079975</c:v>
                </c:pt>
                <c:pt idx="1">
                  <c:v>1394.485667424</c:v>
                </c:pt>
                <c:pt idx="2">
                  <c:v>1236.5719181030197</c:v>
                </c:pt>
                <c:pt idx="3">
                  <c:v>1282.7431550000001</c:v>
                </c:pt>
              </c:numCache>
            </c:numRef>
          </c:val>
          <c:smooth val="1"/>
        </c:ser>
        <c:ser>
          <c:idx val="1"/>
          <c:order val="1"/>
          <c:tx>
            <c:strRef>
              <c:f>'Histórico Mpios'!$A$10</c:f>
              <c:strCache>
                <c:ptCount val="1"/>
                <c:pt idx="0">
                  <c:v>1.1.2. INDUSTRIA Y COMERCIO</c:v>
                </c:pt>
              </c:strCache>
            </c:strRef>
          </c:tx>
          <c:marker>
            <c:symbol val="none"/>
          </c:marker>
          <c:dLbls>
            <c:spPr>
              <a:noFill/>
              <a:ln>
                <a:noFill/>
              </a:ln>
              <a:effectLst/>
            </c:spPr>
            <c:txPr>
              <a:bodyPr/>
              <a:lstStyle/>
              <a:p>
                <a:pPr>
                  <a:defRPr lang="es-ES"/>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2013</c:v>
                </c:pt>
                <c:pt idx="1">
                  <c:v>2014</c:v>
                </c:pt>
                <c:pt idx="2">
                  <c:v>2015</c:v>
                </c:pt>
                <c:pt idx="3">
                  <c:v>2016</c:v>
                </c:pt>
              </c:numCache>
            </c:numRef>
          </c:cat>
          <c:val>
            <c:numRef>
              <c:f>'Histórico Mpios'!$F$10:$I$10</c:f>
              <c:numCache>
                <c:formatCode>_(* #,##0_);_(* \(#,##0\);_(* "-"??_);_(@_)</c:formatCode>
                <c:ptCount val="4"/>
                <c:pt idx="0">
                  <c:v>18198.032643176131</c:v>
                </c:pt>
                <c:pt idx="1">
                  <c:v>8993.5967912220021</c:v>
                </c:pt>
                <c:pt idx="2">
                  <c:v>11440.001419921875</c:v>
                </c:pt>
                <c:pt idx="3">
                  <c:v>10595.684770000002</c:v>
                </c:pt>
              </c:numCache>
            </c:numRef>
          </c:val>
          <c:smooth val="1"/>
        </c:ser>
        <c:ser>
          <c:idx val="3"/>
          <c:order val="2"/>
          <c:tx>
            <c:strRef>
              <c:f>'Histórico Mpios'!$A$11</c:f>
              <c:strCache>
                <c:ptCount val="1"/>
                <c:pt idx="0">
                  <c:v>1.1.3. SOBRETASA A LA GASOLINA</c:v>
                </c:pt>
              </c:strCache>
            </c:strRef>
          </c:t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rker>
            <c:symbol val="none"/>
          </c:marker>
          <c:trendline>
            <c:trendlineType val="linear"/>
            <c:dispRSqr val="0"/>
            <c:dispEq val="0"/>
          </c:trendline>
          <c:cat>
            <c:numRef>
              <c:f>'Histórico Mpios'!$F$5:$I$5</c:f>
              <c:numCache>
                <c:formatCode>General</c:formatCode>
                <c:ptCount val="4"/>
                <c:pt idx="0">
                  <c:v>2013</c:v>
                </c:pt>
                <c:pt idx="1">
                  <c:v>2014</c:v>
                </c:pt>
                <c:pt idx="2">
                  <c:v>2015</c:v>
                </c:pt>
                <c:pt idx="3">
                  <c:v>2016</c:v>
                </c:pt>
              </c:numCache>
            </c:numRef>
          </c:cat>
          <c:val>
            <c:numRef>
              <c:f>'Histórico Mpios'!$F$11:$I$11</c:f>
              <c:numCache>
                <c:formatCode>_(* #,##0_);_(* \(#,##0\);_(* "-"??_);_(@_)</c:formatCode>
                <c:ptCount val="4"/>
                <c:pt idx="0">
                  <c:v>774.66379672184223</c:v>
                </c:pt>
                <c:pt idx="1">
                  <c:v>2220.2353198800001</c:v>
                </c:pt>
                <c:pt idx="2">
                  <c:v>978.36733143310505</c:v>
                </c:pt>
                <c:pt idx="3">
                  <c:v>1408.3489999999999</c:v>
                </c:pt>
              </c:numCache>
            </c:numRef>
          </c:val>
          <c:smooth val="1"/>
        </c:ser>
        <c:ser>
          <c:idx val="2"/>
          <c:order val="3"/>
          <c:tx>
            <c:strRef>
              <c:f>'Histórico Mpios'!$A$12</c:f>
              <c:strCache>
                <c:ptCount val="1"/>
                <c:pt idx="0">
                  <c:v>1.1.4. OTROS</c:v>
                </c:pt>
              </c:strCache>
            </c:strRef>
          </c:tx>
          <c:marker>
            <c:symbol val="none"/>
          </c:marker>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2013</c:v>
                </c:pt>
                <c:pt idx="1">
                  <c:v>2014</c:v>
                </c:pt>
                <c:pt idx="2">
                  <c:v>2015</c:v>
                </c:pt>
                <c:pt idx="3">
                  <c:v>2016</c:v>
                </c:pt>
              </c:numCache>
            </c:numRef>
          </c:cat>
          <c:val>
            <c:numRef>
              <c:f>'Histórico Mpios'!$F$12:$I$12</c:f>
              <c:numCache>
                <c:formatCode>_(* #,##0_);_(* \(#,##0\);_(* "-"??_);_(@_)</c:formatCode>
                <c:ptCount val="4"/>
                <c:pt idx="0">
                  <c:v>3301.5874860194021</c:v>
                </c:pt>
                <c:pt idx="1">
                  <c:v>8126.8019034300014</c:v>
                </c:pt>
                <c:pt idx="2">
                  <c:v>5378.6102731933597</c:v>
                </c:pt>
                <c:pt idx="3">
                  <c:v>3456.0221210000004</c:v>
                </c:pt>
              </c:numCache>
            </c:numRef>
          </c:val>
          <c:smooth val="1"/>
        </c:ser>
        <c:dLbls>
          <c:showLegendKey val="0"/>
          <c:showVal val="0"/>
          <c:showCatName val="0"/>
          <c:showSerName val="0"/>
          <c:showPercent val="0"/>
          <c:showBubbleSize val="0"/>
        </c:dLbls>
        <c:smooth val="0"/>
        <c:axId val="378957680"/>
        <c:axId val="378961208"/>
      </c:lineChart>
      <c:catAx>
        <c:axId val="378957680"/>
        <c:scaling>
          <c:orientation val="minMax"/>
        </c:scaling>
        <c:delete val="0"/>
        <c:axPos val="b"/>
        <c:numFmt formatCode="General" sourceLinked="1"/>
        <c:majorTickMark val="out"/>
        <c:minorTickMark val="none"/>
        <c:tickLblPos val="low"/>
        <c:txPr>
          <a:bodyPr rot="0" vert="horz"/>
          <a:lstStyle/>
          <a:p>
            <a:pPr>
              <a:defRPr lang="es-ES"/>
            </a:pPr>
            <a:endParaRPr lang="es-CO"/>
          </a:p>
        </c:txPr>
        <c:crossAx val="378961208"/>
        <c:crosses val="autoZero"/>
        <c:auto val="1"/>
        <c:lblAlgn val="ctr"/>
        <c:lblOffset val="100"/>
        <c:tickLblSkip val="1"/>
        <c:tickMarkSkip val="1"/>
        <c:noMultiLvlLbl val="0"/>
      </c:catAx>
      <c:valAx>
        <c:axId val="378961208"/>
        <c:scaling>
          <c:orientation val="minMax"/>
          <c:min val="0"/>
        </c:scaling>
        <c:delete val="0"/>
        <c:axPos val="l"/>
        <c:title>
          <c:tx>
            <c:rich>
              <a:bodyPr/>
              <a:lstStyle/>
              <a:p>
                <a:pPr>
                  <a:defRPr lang="es-ES"/>
                </a:pPr>
                <a:r>
                  <a:rPr lang="es-CO"/>
                  <a:t>Mill $ Constantes, 2010</a:t>
                </a:r>
              </a:p>
            </c:rich>
          </c:tx>
          <c:layout>
            <c:manualLayout>
              <c:xMode val="edge"/>
              <c:yMode val="edge"/>
              <c:x val="8.6355785837651123E-3"/>
              <c:y val="0.23214348206474344"/>
            </c:manualLayout>
          </c:layout>
          <c:overlay val="0"/>
        </c:title>
        <c:numFmt formatCode="_(* #,##0_);_(* \(#,##0\);_(* &quot;-&quot;??_);_(@_)" sourceLinked="1"/>
        <c:majorTickMark val="out"/>
        <c:minorTickMark val="none"/>
        <c:tickLblPos val="nextTo"/>
        <c:txPr>
          <a:bodyPr rot="0" vert="horz"/>
          <a:lstStyle/>
          <a:p>
            <a:pPr>
              <a:defRPr lang="es-ES"/>
            </a:pPr>
            <a:endParaRPr lang="es-CO"/>
          </a:p>
        </c:txPr>
        <c:crossAx val="378957680"/>
        <c:crosses val="autoZero"/>
        <c:crossBetween val="between"/>
      </c:valAx>
    </c:plotArea>
    <c:legend>
      <c:legendPos val="r"/>
      <c:layout>
        <c:manualLayout>
          <c:xMode val="edge"/>
          <c:yMode val="edge"/>
          <c:x val="0"/>
          <c:y val="0.88434151643615078"/>
          <c:w val="1"/>
          <c:h val="0.10408105778168718"/>
        </c:manualLayout>
      </c:layout>
      <c:overlay val="0"/>
      <c:txPr>
        <a:bodyPr/>
        <a:lstStyle/>
        <a:p>
          <a:pPr>
            <a:defRPr lang="es-ES" sz="1100"/>
          </a:pPr>
          <a:endParaRPr lang="es-CO"/>
        </a:p>
      </c:txPr>
    </c:legend>
    <c:plotVisOnly val="1"/>
    <c:dispBlanksAs val="gap"/>
    <c:showDLblsOverMax val="0"/>
  </c:chart>
  <c:printSettings>
    <c:headerFooter alignWithMargins="0"/>
    <c:pageMargins b="1" l="0.75000000000001066" r="0.75000000000001066" t="1" header="0" footer="0"/>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4"/>
      <c:rotY val="20"/>
      <c:depthPercent val="70"/>
      <c:rAngAx val="1"/>
    </c:view3D>
    <c:floor>
      <c:thickness val="0"/>
    </c:floor>
    <c:sideWall>
      <c:thickness val="0"/>
    </c:sideWall>
    <c:backWall>
      <c:thickness val="0"/>
    </c:backWall>
    <c:plotArea>
      <c:layout>
        <c:manualLayout>
          <c:layoutTarget val="inner"/>
          <c:xMode val="edge"/>
          <c:yMode val="edge"/>
          <c:x val="0.15334517465956191"/>
          <c:y val="4.3684819378737395E-2"/>
          <c:w val="0.8164594434576673"/>
          <c:h val="0.7316942890453908"/>
        </c:manualLayout>
      </c:layout>
      <c:bar3DChart>
        <c:barDir val="col"/>
        <c:grouping val="clustered"/>
        <c:varyColors val="0"/>
        <c:ser>
          <c:idx val="0"/>
          <c:order val="0"/>
          <c:tx>
            <c:strRef>
              <c:f>'Histórico Mpios'!$A$7</c:f>
              <c:strCache>
                <c:ptCount val="1"/>
                <c:pt idx="0">
                  <c:v>1.  INGRESOS CORRIENTES</c:v>
                </c:pt>
              </c:strCache>
            </c:strRef>
          </c:tx>
          <c:invertIfNegative val="0"/>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2013</c:v>
                </c:pt>
                <c:pt idx="1">
                  <c:v>2014</c:v>
                </c:pt>
                <c:pt idx="2">
                  <c:v>2015</c:v>
                </c:pt>
                <c:pt idx="3">
                  <c:v>2016</c:v>
                </c:pt>
              </c:numCache>
            </c:numRef>
          </c:cat>
          <c:val>
            <c:numRef>
              <c:f>'Histórico Mpios'!$F$7:$I$7</c:f>
              <c:numCache>
                <c:formatCode>_(* #,##0_);_(* \(#,##0\);_(* "-"??_);_(@_)</c:formatCode>
                <c:ptCount val="4"/>
                <c:pt idx="0">
                  <c:v>26509.940335138854</c:v>
                </c:pt>
                <c:pt idx="1">
                  <c:v>23018.42243079</c:v>
                </c:pt>
                <c:pt idx="2">
                  <c:v>20666.992234570313</c:v>
                </c:pt>
                <c:pt idx="3">
                  <c:v>19349.989766000006</c:v>
                </c:pt>
              </c:numCache>
            </c:numRef>
          </c:val>
          <c:shape val="cylinder"/>
        </c:ser>
        <c:ser>
          <c:idx val="1"/>
          <c:order val="1"/>
          <c:tx>
            <c:strRef>
              <c:f>'Histórico Mpios'!$A$18</c:f>
              <c:strCache>
                <c:ptCount val="1"/>
                <c:pt idx="0">
                  <c:v>3.  GASTOS CORRIENTES</c:v>
                </c:pt>
              </c:strCache>
            </c:strRef>
          </c:tx>
          <c:invertIfNegative val="0"/>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Mpios'!$F$5:$I$5</c:f>
              <c:numCache>
                <c:formatCode>General</c:formatCode>
                <c:ptCount val="4"/>
                <c:pt idx="0">
                  <c:v>2013</c:v>
                </c:pt>
                <c:pt idx="1">
                  <c:v>2014</c:v>
                </c:pt>
                <c:pt idx="2">
                  <c:v>2015</c:v>
                </c:pt>
                <c:pt idx="3">
                  <c:v>2016</c:v>
                </c:pt>
              </c:numCache>
            </c:numRef>
          </c:cat>
          <c:val>
            <c:numRef>
              <c:f>'Histórico Mpios'!$F$18:$I$18</c:f>
              <c:numCache>
                <c:formatCode>_(* #,##0_);_(* \(#,##0\);_(* "-"??_);_(@_)</c:formatCode>
                <c:ptCount val="4"/>
                <c:pt idx="0">
                  <c:v>8956.7522990320977</c:v>
                </c:pt>
                <c:pt idx="1">
                  <c:v>8960.9605548318723</c:v>
                </c:pt>
                <c:pt idx="2">
                  <c:v>10877.890153125001</c:v>
                </c:pt>
                <c:pt idx="3">
                  <c:v>13872.551889999999</c:v>
                </c:pt>
              </c:numCache>
            </c:numRef>
          </c:val>
          <c:shape val="cylinder"/>
        </c:ser>
        <c:dLbls>
          <c:showLegendKey val="0"/>
          <c:showVal val="0"/>
          <c:showCatName val="0"/>
          <c:showSerName val="0"/>
          <c:showPercent val="0"/>
          <c:showBubbleSize val="0"/>
        </c:dLbls>
        <c:gapWidth val="20"/>
        <c:shape val="box"/>
        <c:axId val="378958464"/>
        <c:axId val="378960816"/>
        <c:axId val="0"/>
      </c:bar3DChart>
      <c:catAx>
        <c:axId val="378958464"/>
        <c:scaling>
          <c:orientation val="minMax"/>
        </c:scaling>
        <c:delete val="0"/>
        <c:axPos val="b"/>
        <c:numFmt formatCode="General" sourceLinked="1"/>
        <c:majorTickMark val="out"/>
        <c:minorTickMark val="none"/>
        <c:tickLblPos val="low"/>
        <c:txPr>
          <a:bodyPr rot="0" vert="horz"/>
          <a:lstStyle/>
          <a:p>
            <a:pPr>
              <a:defRPr lang="es-ES"/>
            </a:pPr>
            <a:endParaRPr lang="es-CO"/>
          </a:p>
        </c:txPr>
        <c:crossAx val="378960816"/>
        <c:crosses val="autoZero"/>
        <c:auto val="1"/>
        <c:lblAlgn val="ctr"/>
        <c:lblOffset val="100"/>
        <c:tickLblSkip val="1"/>
        <c:tickMarkSkip val="1"/>
        <c:noMultiLvlLbl val="0"/>
      </c:catAx>
      <c:valAx>
        <c:axId val="378960816"/>
        <c:scaling>
          <c:orientation val="minMax"/>
          <c:min val="0"/>
        </c:scaling>
        <c:delete val="0"/>
        <c:axPos val="l"/>
        <c:majorGridlines/>
        <c:title>
          <c:tx>
            <c:rich>
              <a:bodyPr/>
              <a:lstStyle/>
              <a:p>
                <a:pPr>
                  <a:defRPr lang="es-ES"/>
                </a:pPr>
                <a:r>
                  <a:rPr lang="es-CO"/>
                  <a:t>Mill $ Constantes, 2010</a:t>
                </a:r>
              </a:p>
            </c:rich>
          </c:tx>
          <c:layout>
            <c:manualLayout>
              <c:xMode val="edge"/>
              <c:yMode val="edge"/>
              <c:x val="1.0065127294257398E-2"/>
              <c:y val="0.29202099737533765"/>
            </c:manualLayout>
          </c:layout>
          <c:overlay val="0"/>
        </c:title>
        <c:numFmt formatCode="_(* #,##0_);_(* \(#,##0\);_(* &quot;-&quot;??_);_(@_)" sourceLinked="1"/>
        <c:majorTickMark val="out"/>
        <c:minorTickMark val="none"/>
        <c:tickLblPos val="nextTo"/>
        <c:txPr>
          <a:bodyPr rot="0" vert="horz"/>
          <a:lstStyle/>
          <a:p>
            <a:pPr>
              <a:defRPr lang="es-ES"/>
            </a:pPr>
            <a:endParaRPr lang="es-CO"/>
          </a:p>
        </c:txPr>
        <c:crossAx val="378958464"/>
        <c:crosses val="autoZero"/>
        <c:crossBetween val="between"/>
      </c:valAx>
    </c:plotArea>
    <c:legend>
      <c:legendPos val="r"/>
      <c:layout>
        <c:manualLayout>
          <c:xMode val="edge"/>
          <c:yMode val="edge"/>
          <c:x val="4.9161270471741923E-2"/>
          <c:y val="0.89242272587059956"/>
          <c:w val="0.90448885670790558"/>
          <c:h val="7.1890726096333984E-2"/>
        </c:manualLayout>
      </c:layout>
      <c:overlay val="0"/>
      <c:txPr>
        <a:bodyPr/>
        <a:lstStyle/>
        <a:p>
          <a:pPr>
            <a:defRPr lang="es-ES" sz="1200"/>
          </a:pPr>
          <a:endParaRPr lang="es-CO"/>
        </a:p>
      </c:txPr>
    </c:legend>
    <c:plotVisOnly val="1"/>
    <c:dispBlanksAs val="gap"/>
    <c:showDLblsOverMax val="0"/>
  </c:chart>
  <c:printSettings>
    <c:headerFooter alignWithMargins="0"/>
    <c:pageMargins b="1" l="0.75000000000001066" r="0.75000000000001066"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1"/>
      <c:rotY val="20"/>
      <c:depthPercent val="70"/>
      <c:rAngAx val="1"/>
    </c:view3D>
    <c:floor>
      <c:thickness val="0"/>
    </c:floor>
    <c:sideWall>
      <c:thickness val="0"/>
    </c:sideWall>
    <c:backWall>
      <c:thickness val="0"/>
    </c:backWall>
    <c:plotArea>
      <c:layout>
        <c:manualLayout>
          <c:layoutTarget val="inner"/>
          <c:xMode val="edge"/>
          <c:yMode val="edge"/>
          <c:x val="0.14310670113898397"/>
          <c:y val="5.2658519399358325E-2"/>
          <c:w val="0.84059520831265344"/>
          <c:h val="0.81571306575576252"/>
        </c:manualLayout>
      </c:layout>
      <c:bar3DChart>
        <c:barDir val="col"/>
        <c:grouping val="clustered"/>
        <c:varyColors val="0"/>
        <c:ser>
          <c:idx val="0"/>
          <c:order val="0"/>
          <c:tx>
            <c:strRef>
              <c:f>'Histórico Deptos'!$A$6</c:f>
              <c:strCache>
                <c:ptCount val="1"/>
              </c:strCache>
            </c:strRef>
          </c:tx>
          <c:invertIfNegative val="0"/>
          <c:dLbls>
            <c:dLbl>
              <c:idx val="0"/>
              <c:layout>
                <c:manualLayout>
                  <c:x val="0"/>
                  <c:y val="-2.049530315969259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2.049530315969260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8.1674323634507526E-3"/>
                  <c:y val="-1.7079419299743808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707941929974380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numCache>
            </c:numRef>
          </c:cat>
          <c:val>
            <c:numRef>
              <c:f>'Histórico Deptos'!$F$6:$I$6</c:f>
              <c:numCache>
                <c:formatCode>General</c:formatCode>
                <c:ptCount val="4"/>
              </c:numCache>
            </c:numRef>
          </c:val>
          <c:shape val="cylinder"/>
        </c:ser>
        <c:ser>
          <c:idx val="1"/>
          <c:order val="1"/>
          <c:tx>
            <c:strRef>
              <c:f>'Histórico Deptos'!$A$20</c:f>
              <c:strCache>
                <c:ptCount val="1"/>
              </c:strCache>
            </c:strRef>
          </c:tx>
          <c:invertIfNegative val="0"/>
          <c:dLbls>
            <c:dLbl>
              <c:idx val="0"/>
              <c:layout>
                <c:manualLayout>
                  <c:x val="1.2251148545176073E-2"/>
                  <c:y val="-1.0247651579846286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0418580908626843E-2"/>
                  <c:y val="-1.3663535439795109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6334864726901481E-2"/>
                  <c:y val="-2.732707087959013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6334864726901481E-2"/>
                  <c:y val="-2.732707087959021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numCache>
            </c:numRef>
          </c:cat>
          <c:val>
            <c:numRef>
              <c:f>'Histórico Deptos'!$F$20:$I$20</c:f>
              <c:numCache>
                <c:formatCode>General</c:formatCode>
                <c:ptCount val="4"/>
              </c:numCache>
            </c:numRef>
          </c:val>
          <c:shape val="cylinder"/>
        </c:ser>
        <c:dLbls>
          <c:showLegendKey val="0"/>
          <c:showVal val="0"/>
          <c:showCatName val="0"/>
          <c:showSerName val="0"/>
          <c:showPercent val="0"/>
          <c:showBubbleSize val="0"/>
        </c:dLbls>
        <c:gapWidth val="20"/>
        <c:shape val="box"/>
        <c:axId val="378960424"/>
        <c:axId val="378963560"/>
        <c:axId val="0"/>
      </c:bar3DChart>
      <c:catAx>
        <c:axId val="378960424"/>
        <c:scaling>
          <c:orientation val="minMax"/>
        </c:scaling>
        <c:delete val="0"/>
        <c:axPos val="b"/>
        <c:numFmt formatCode="General" sourceLinked="1"/>
        <c:majorTickMark val="out"/>
        <c:minorTickMark val="none"/>
        <c:tickLblPos val="low"/>
        <c:txPr>
          <a:bodyPr rot="0" vert="horz"/>
          <a:lstStyle/>
          <a:p>
            <a:pPr>
              <a:defRPr lang="es-ES" sz="1400"/>
            </a:pPr>
            <a:endParaRPr lang="es-CO"/>
          </a:p>
        </c:txPr>
        <c:crossAx val="378963560"/>
        <c:crosses val="autoZero"/>
        <c:auto val="1"/>
        <c:lblAlgn val="ctr"/>
        <c:lblOffset val="100"/>
        <c:tickLblSkip val="1"/>
        <c:tickMarkSkip val="1"/>
        <c:noMultiLvlLbl val="0"/>
      </c:catAx>
      <c:valAx>
        <c:axId val="378963560"/>
        <c:scaling>
          <c:orientation val="minMax"/>
          <c:min val="0"/>
        </c:scaling>
        <c:delete val="0"/>
        <c:axPos val="l"/>
        <c:title>
          <c:tx>
            <c:rich>
              <a:bodyPr/>
              <a:lstStyle/>
              <a:p>
                <a:pPr>
                  <a:defRPr lang="es-ES"/>
                </a:pPr>
                <a:r>
                  <a:rPr lang="es-CO"/>
                  <a:t>Mill $ Constantes, 2009</a:t>
                </a:r>
              </a:p>
            </c:rich>
          </c:tx>
          <c:layout>
            <c:manualLayout>
              <c:xMode val="edge"/>
              <c:yMode val="edge"/>
              <c:x val="9.3159820990965855E-3"/>
              <c:y val="0.28313253012048195"/>
            </c:manualLayout>
          </c:layout>
          <c:overlay val="0"/>
        </c:title>
        <c:numFmt formatCode="General" sourceLinked="1"/>
        <c:majorTickMark val="out"/>
        <c:minorTickMark val="none"/>
        <c:tickLblPos val="nextTo"/>
        <c:txPr>
          <a:bodyPr rot="0" vert="horz"/>
          <a:lstStyle/>
          <a:p>
            <a:pPr>
              <a:defRPr lang="es-ES"/>
            </a:pPr>
            <a:endParaRPr lang="es-CO"/>
          </a:p>
        </c:txPr>
        <c:crossAx val="378960424"/>
        <c:crosses val="autoZero"/>
        <c:crossBetween val="between"/>
      </c:valAx>
    </c:plotArea>
    <c:legend>
      <c:legendPos val="r"/>
      <c:layout>
        <c:manualLayout>
          <c:xMode val="edge"/>
          <c:yMode val="edge"/>
          <c:x val="5.2903315369420126E-2"/>
          <c:y val="0.88336067398182727"/>
          <c:w val="0.88501930373837934"/>
          <c:h val="7.3206703846712184E-2"/>
        </c:manualLayout>
      </c:layout>
      <c:overlay val="0"/>
      <c:txPr>
        <a:bodyPr/>
        <a:lstStyle/>
        <a:p>
          <a:pPr>
            <a:defRPr lang="es-ES" sz="1400"/>
          </a:pPr>
          <a:endParaRPr lang="es-CO"/>
        </a:p>
      </c:txPr>
    </c:legend>
    <c:plotVisOnly val="1"/>
    <c:dispBlanksAs val="gap"/>
    <c:showDLblsOverMax val="0"/>
  </c:chart>
  <c:printSettings>
    <c:headerFooter alignWithMargins="0"/>
    <c:pageMargins b="1" l="0.75000000000001021" r="0.75000000000001021" t="1" header="0" footer="0"/>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1"/>
      <c:rotY val="20"/>
      <c:depthPercent val="70"/>
      <c:rAngAx val="1"/>
    </c:view3D>
    <c:floor>
      <c:thickness val="0"/>
    </c:floor>
    <c:sideWall>
      <c:thickness val="0"/>
    </c:sideWall>
    <c:backWall>
      <c:thickness val="0"/>
    </c:backWall>
    <c:plotArea>
      <c:layout>
        <c:manualLayout>
          <c:layoutTarget val="inner"/>
          <c:xMode val="edge"/>
          <c:yMode val="edge"/>
          <c:x val="0.15901060070671391"/>
          <c:y val="3.4837636574498052E-2"/>
          <c:w val="0.81241819230800483"/>
          <c:h val="0.7901928160040087"/>
        </c:manualLayout>
      </c:layout>
      <c:bar3DChart>
        <c:barDir val="col"/>
        <c:grouping val="clustered"/>
        <c:varyColors val="0"/>
        <c:ser>
          <c:idx val="0"/>
          <c:order val="0"/>
          <c:tx>
            <c:strRef>
              <c:f>'Histórico Deptos'!$A$21</c:f>
              <c:strCache>
                <c:ptCount val="1"/>
              </c:strCache>
            </c:strRef>
          </c:tx>
          <c:invertIfNegative val="0"/>
          <c:dLbls>
            <c:dLbl>
              <c:idx val="0"/>
              <c:layout>
                <c:manualLayout>
                  <c:x val="-2.0639834881321078E-3"/>
                  <c:y val="-5.6537102473498295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1279669762641774E-3"/>
                  <c:y val="-3.5335689045936397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3.5335689045936397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6.1919504643962852E-3"/>
                  <c:y val="-2.826855123674900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numCache>
            </c:numRef>
          </c:cat>
          <c:val>
            <c:numRef>
              <c:f>'Histórico Deptos'!$F$21:$I$21</c:f>
              <c:numCache>
                <c:formatCode>General</c:formatCode>
                <c:ptCount val="4"/>
              </c:numCache>
            </c:numRef>
          </c:val>
          <c:shape val="cylinder"/>
        </c:ser>
        <c:ser>
          <c:idx val="1"/>
          <c:order val="1"/>
          <c:tx>
            <c:strRef>
              <c:f>'Histórico Deptos'!$A$37</c:f>
              <c:strCache>
                <c:ptCount val="1"/>
              </c:strCache>
            </c:strRef>
          </c:tx>
          <c:invertIfNegative val="0"/>
          <c:dLbls>
            <c:dLbl>
              <c:idx val="0"/>
              <c:layout>
                <c:manualLayout>
                  <c:x val="4.1279669762642104E-3"/>
                  <c:y val="-2.4734982332155469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6.1919504643962852E-3"/>
                  <c:y val="-3.5335689045936397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0319917440660398E-2"/>
                  <c:y val="-5.6537102473498267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1279669762641774E-3"/>
                  <c:y val="-4.593639575971741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'Histórico Deptos'!$F$5:$I$5</c:f>
              <c:numCache>
                <c:formatCode>General</c:formatCode>
                <c:ptCount val="4"/>
              </c:numCache>
            </c:numRef>
          </c:cat>
          <c:val>
            <c:numRef>
              <c:f>'Histórico Deptos'!$F$37:$I$37</c:f>
              <c:numCache>
                <c:formatCode>General</c:formatCode>
                <c:ptCount val="4"/>
              </c:numCache>
            </c:numRef>
          </c:val>
          <c:shape val="cylinder"/>
        </c:ser>
        <c:dLbls>
          <c:showLegendKey val="0"/>
          <c:showVal val="0"/>
          <c:showCatName val="0"/>
          <c:showSerName val="0"/>
          <c:showPercent val="0"/>
          <c:showBubbleSize val="0"/>
        </c:dLbls>
        <c:gapWidth val="10"/>
        <c:shape val="box"/>
        <c:axId val="378959640"/>
        <c:axId val="378962776"/>
        <c:axId val="0"/>
      </c:bar3DChart>
      <c:catAx>
        <c:axId val="378959640"/>
        <c:scaling>
          <c:orientation val="minMax"/>
        </c:scaling>
        <c:delete val="0"/>
        <c:axPos val="b"/>
        <c:numFmt formatCode="General" sourceLinked="1"/>
        <c:majorTickMark val="out"/>
        <c:minorTickMark val="none"/>
        <c:tickLblPos val="low"/>
        <c:txPr>
          <a:bodyPr rot="0" vert="horz"/>
          <a:lstStyle/>
          <a:p>
            <a:pPr>
              <a:defRPr lang="es-ES" sz="1400"/>
            </a:pPr>
            <a:endParaRPr lang="es-CO"/>
          </a:p>
        </c:txPr>
        <c:crossAx val="378962776"/>
        <c:crosses val="autoZero"/>
        <c:auto val="1"/>
        <c:lblAlgn val="ctr"/>
        <c:lblOffset val="100"/>
        <c:tickLblSkip val="1"/>
        <c:tickMarkSkip val="1"/>
        <c:noMultiLvlLbl val="0"/>
      </c:catAx>
      <c:valAx>
        <c:axId val="378962776"/>
        <c:scaling>
          <c:orientation val="minMax"/>
        </c:scaling>
        <c:delete val="0"/>
        <c:axPos val="l"/>
        <c:title>
          <c:tx>
            <c:rich>
              <a:bodyPr/>
              <a:lstStyle/>
              <a:p>
                <a:pPr>
                  <a:defRPr lang="es-ES"/>
                </a:pPr>
                <a:r>
                  <a:rPr lang="es-CO"/>
                  <a:t>Mill $ Constantes, 2009</a:t>
                </a:r>
              </a:p>
            </c:rich>
          </c:tx>
          <c:layout>
            <c:manualLayout>
              <c:xMode val="edge"/>
              <c:yMode val="edge"/>
              <c:x val="2.1201413427562689E-2"/>
              <c:y val="0.24550929636789981"/>
            </c:manualLayout>
          </c:layout>
          <c:overlay val="0"/>
        </c:title>
        <c:numFmt formatCode="General" sourceLinked="0"/>
        <c:majorTickMark val="out"/>
        <c:minorTickMark val="none"/>
        <c:tickLblPos val="nextTo"/>
        <c:txPr>
          <a:bodyPr rot="0" vert="horz"/>
          <a:lstStyle/>
          <a:p>
            <a:pPr>
              <a:defRPr lang="es-ES"/>
            </a:pPr>
            <a:endParaRPr lang="es-CO"/>
          </a:p>
        </c:txPr>
        <c:crossAx val="378959640"/>
        <c:crosses val="autoZero"/>
        <c:crossBetween val="between"/>
      </c:valAx>
    </c:plotArea>
    <c:legend>
      <c:legendPos val="r"/>
      <c:layout>
        <c:manualLayout>
          <c:xMode val="edge"/>
          <c:yMode val="edge"/>
          <c:x val="1.353755692199252E-2"/>
          <c:y val="0.86145341490245009"/>
          <c:w val="0.972641107336356"/>
          <c:h val="8.4302325581395568E-2"/>
        </c:manualLayout>
      </c:layout>
      <c:overlay val="0"/>
      <c:txPr>
        <a:bodyPr/>
        <a:lstStyle/>
        <a:p>
          <a:pPr>
            <a:defRPr lang="es-ES" sz="1400"/>
          </a:pPr>
          <a:endParaRPr lang="es-CO"/>
        </a:p>
      </c:txPr>
    </c:legend>
    <c:plotVisOnly val="1"/>
    <c:dispBlanksAs val="gap"/>
    <c:showDLblsOverMax val="0"/>
  </c:chart>
  <c:printSettings>
    <c:headerFooter alignWithMargins="0"/>
    <c:pageMargins b="1" l="0.75000000000001021" r="0.75000000000001021"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 Id="rId9"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76200</xdr:colOff>
      <xdr:row>23</xdr:row>
      <xdr:rowOff>66675</xdr:rowOff>
    </xdr:from>
    <xdr:to>
      <xdr:col>7</xdr:col>
      <xdr:colOff>809625</xdr:colOff>
      <xdr:row>42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85725</xdr:colOff>
      <xdr:row>24</xdr:row>
      <xdr:rowOff>47625</xdr:rowOff>
    </xdr:from>
    <xdr:to>
      <xdr:col>16</xdr:col>
      <xdr:colOff>904875</xdr:colOff>
      <xdr:row>43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44</xdr:row>
      <xdr:rowOff>142876</xdr:rowOff>
    </xdr:from>
    <xdr:to>
      <xdr:col>8</xdr:col>
      <xdr:colOff>23812</xdr:colOff>
      <xdr:row>63</xdr:row>
      <xdr:rowOff>28576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104775</xdr:colOff>
      <xdr:row>45</xdr:row>
      <xdr:rowOff>28575</xdr:rowOff>
    </xdr:from>
    <xdr:to>
      <xdr:col>16</xdr:col>
      <xdr:colOff>952500</xdr:colOff>
      <xdr:row>62</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66</xdr:row>
      <xdr:rowOff>95250</xdr:rowOff>
    </xdr:from>
    <xdr:to>
      <xdr:col>7</xdr:col>
      <xdr:colOff>800100</xdr:colOff>
      <xdr:row>86</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xdr:row>
      <xdr:rowOff>0</xdr:rowOff>
    </xdr:from>
    <xdr:to>
      <xdr:col>7</xdr:col>
      <xdr:colOff>790575</xdr:colOff>
      <xdr:row>21</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47625</xdr:colOff>
      <xdr:row>2</xdr:row>
      <xdr:rowOff>0</xdr:rowOff>
    </xdr:from>
    <xdr:to>
      <xdr:col>16</xdr:col>
      <xdr:colOff>838200</xdr:colOff>
      <xdr:row>21</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29</xdr:row>
      <xdr:rowOff>66675</xdr:rowOff>
    </xdr:from>
    <xdr:to>
      <xdr:col>8</xdr:col>
      <xdr:colOff>809625</xdr:colOff>
      <xdr:row>51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85725</xdr:colOff>
      <xdr:row>30</xdr:row>
      <xdr:rowOff>47625</xdr:rowOff>
    </xdr:from>
    <xdr:to>
      <xdr:col>18</xdr:col>
      <xdr:colOff>904875</xdr:colOff>
      <xdr:row>52</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53</xdr:row>
      <xdr:rowOff>142876</xdr:rowOff>
    </xdr:from>
    <xdr:to>
      <xdr:col>9</xdr:col>
      <xdr:colOff>23812</xdr:colOff>
      <xdr:row>77</xdr:row>
      <xdr:rowOff>28576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104775</xdr:colOff>
      <xdr:row>54</xdr:row>
      <xdr:rowOff>28575</xdr:rowOff>
    </xdr:from>
    <xdr:to>
      <xdr:col>18</xdr:col>
      <xdr:colOff>952500</xdr:colOff>
      <xdr:row>76</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80</xdr:row>
      <xdr:rowOff>95250</xdr:rowOff>
    </xdr:from>
    <xdr:to>
      <xdr:col>8</xdr:col>
      <xdr:colOff>800100</xdr:colOff>
      <xdr:row>100</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215900</xdr:colOff>
      <xdr:row>2</xdr:row>
      <xdr:rowOff>127000</xdr:rowOff>
    </xdr:from>
    <xdr:to>
      <xdr:col>8</xdr:col>
      <xdr:colOff>777875</xdr:colOff>
      <xdr:row>27</xdr:row>
      <xdr:rowOff>85725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47625</xdr:colOff>
      <xdr:row>3</xdr:row>
      <xdr:rowOff>0</xdr:rowOff>
    </xdr:from>
    <xdr:to>
      <xdr:col>18</xdr:col>
      <xdr:colOff>838200</xdr:colOff>
      <xdr:row>27</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495300</xdr:colOff>
      <xdr:row>88</xdr:row>
      <xdr:rowOff>139700</xdr:rowOff>
    </xdr:from>
    <xdr:to>
      <xdr:col>17</xdr:col>
      <xdr:colOff>495300</xdr:colOff>
      <xdr:row>105</xdr:row>
      <xdr:rowOff>76200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108</xdr:row>
      <xdr:rowOff>0</xdr:rowOff>
    </xdr:from>
    <xdr:to>
      <xdr:col>18</xdr:col>
      <xdr:colOff>1028700</xdr:colOff>
      <xdr:row>121</xdr:row>
      <xdr:rowOff>57150</xdr:rowOff>
    </xdr:to>
    <xdr:pic>
      <xdr:nvPicPr>
        <xdr:cNvPr id="3073" name="Picture 1"/>
        <xdr:cNvPicPr>
          <a:picLocks noChangeAspect="1" noChangeArrowheads="1"/>
        </xdr:cNvPicPr>
      </xdr:nvPicPr>
      <xdr:blipFill>
        <a:blip xmlns:r="http://schemas.openxmlformats.org/officeDocument/2006/relationships" r:embed="rId9"/>
        <a:srcRect/>
        <a:stretch>
          <a:fillRect/>
        </a:stretch>
      </xdr:blipFill>
      <xdr:spPr bwMode="auto">
        <a:xfrm>
          <a:off x="8039100" y="17621250"/>
          <a:ext cx="5600700" cy="2162175"/>
        </a:xfrm>
        <a:prstGeom prst="rect">
          <a:avLst/>
        </a:prstGeom>
        <a:noFill/>
        <a:ln w="9525">
          <a:noFill/>
          <a:miter lim="800000"/>
          <a:headEnd/>
          <a:tailEnd/>
        </a:ln>
      </xdr:spPr>
    </xdr:pic>
    <xdr:clientData/>
  </xdr:twoCellAnchor>
</xdr:wsDr>
</file>

<file path=xl/drawings/drawing3.xml><?xml version="1.0" encoding="utf-8"?>
<c:userShapes xmlns:c="http://schemas.openxmlformats.org/drawingml/2006/chart">
  <cdr:relSizeAnchor xmlns:cdr="http://schemas.openxmlformats.org/drawingml/2006/chartDrawing">
    <cdr:from>
      <cdr:x>0.54224</cdr:x>
      <cdr:y>0.96157</cdr:y>
    </cdr:from>
    <cdr:to>
      <cdr:x>0.9651</cdr:x>
      <cdr:y>0.99171</cdr:y>
    </cdr:to>
    <cdr:sp macro="" textlink="">
      <cdr:nvSpPr>
        <cdr:cNvPr id="2" name="1 Rectángulo"/>
        <cdr:cNvSpPr/>
      </cdr:nvSpPr>
      <cdr:spPr>
        <a:xfrm xmlns:a="http://schemas.openxmlformats.org/drawingml/2006/main">
          <a:off x="3403600" y="4051300"/>
          <a:ext cx="2654300" cy="1270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E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Presupuesto%20de%20Gastos%20Ci&#233;naga%20%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2.017 (2)"/>
      <sheetName val="valor nominas"/>
      <sheetName val="Presupuesto 2.018"/>
      <sheetName val="ingresos 2018"/>
      <sheetName val="ICLD"/>
    </sheetNames>
    <sheetDataSet>
      <sheetData sheetId="0"/>
      <sheetData sheetId="1"/>
      <sheetData sheetId="2">
        <row r="80">
          <cell r="AA80">
            <v>20000000</v>
          </cell>
        </row>
        <row r="81">
          <cell r="AA81">
            <v>5178158</v>
          </cell>
        </row>
        <row r="510">
          <cell r="M510">
            <v>459956848</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np.gov.co/PortalWeb/Programas/DesarrolloTerritorial/FinanzasP&#250;blicasTerritoriales/EjecucionesPresupuestales/tabid/369/Default.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71"/>
  <sheetViews>
    <sheetView workbookViewId="0"/>
  </sheetViews>
  <sheetFormatPr baseColWidth="10" defaultRowHeight="15"/>
  <sheetData>
    <row r="1" spans="1:10">
      <c r="A1" t="s">
        <v>244</v>
      </c>
      <c r="B1" t="s">
        <v>1</v>
      </c>
      <c r="C1" t="s">
        <v>2</v>
      </c>
      <c r="D1" t="s">
        <v>245</v>
      </c>
      <c r="E1" t="s">
        <v>3</v>
      </c>
      <c r="F1" t="s">
        <v>4</v>
      </c>
      <c r="G1" t="s">
        <v>246</v>
      </c>
      <c r="H1" t="s">
        <v>247</v>
      </c>
      <c r="I1" t="s">
        <v>22</v>
      </c>
      <c r="J1" t="s">
        <v>23</v>
      </c>
    </row>
    <row r="2" spans="1:10">
      <c r="A2" t="s">
        <v>31</v>
      </c>
      <c r="B2">
        <v>434413</v>
      </c>
      <c r="C2">
        <v>546413</v>
      </c>
      <c r="D2">
        <v>505576</v>
      </c>
      <c r="E2">
        <v>0</v>
      </c>
      <c r="F2">
        <v>0</v>
      </c>
      <c r="G2">
        <v>0</v>
      </c>
      <c r="H2" t="s">
        <v>248</v>
      </c>
      <c r="I2">
        <v>4</v>
      </c>
      <c r="J2">
        <v>2010</v>
      </c>
    </row>
    <row r="3" spans="1:10">
      <c r="A3" t="s">
        <v>33</v>
      </c>
      <c r="B3">
        <v>293952</v>
      </c>
      <c r="C3">
        <v>293952</v>
      </c>
      <c r="D3">
        <v>325395</v>
      </c>
      <c r="E3">
        <v>0</v>
      </c>
      <c r="F3">
        <v>0</v>
      </c>
      <c r="G3">
        <v>0</v>
      </c>
      <c r="H3" t="s">
        <v>248</v>
      </c>
      <c r="I3">
        <v>4</v>
      </c>
      <c r="J3">
        <v>2010</v>
      </c>
    </row>
    <row r="4" spans="1:10">
      <c r="A4" t="s">
        <v>43</v>
      </c>
      <c r="B4">
        <v>90348</v>
      </c>
      <c r="C4">
        <v>90348</v>
      </c>
      <c r="D4">
        <v>86938</v>
      </c>
      <c r="E4">
        <v>0</v>
      </c>
      <c r="F4">
        <v>0</v>
      </c>
      <c r="G4">
        <v>0</v>
      </c>
      <c r="H4" t="s">
        <v>248</v>
      </c>
      <c r="I4">
        <v>4</v>
      </c>
      <c r="J4">
        <v>2010</v>
      </c>
    </row>
    <row r="5" spans="1:10">
      <c r="A5" t="s">
        <v>45</v>
      </c>
      <c r="B5">
        <v>28521</v>
      </c>
      <c r="C5">
        <v>104050</v>
      </c>
      <c r="D5">
        <v>102066</v>
      </c>
      <c r="E5">
        <v>0</v>
      </c>
      <c r="F5">
        <v>0</v>
      </c>
      <c r="G5">
        <v>0</v>
      </c>
      <c r="H5" t="s">
        <v>248</v>
      </c>
      <c r="I5">
        <v>4</v>
      </c>
      <c r="J5">
        <v>2010</v>
      </c>
    </row>
    <row r="6" spans="1:10">
      <c r="A6" t="s">
        <v>51</v>
      </c>
      <c r="B6">
        <v>114966</v>
      </c>
      <c r="C6">
        <v>379038</v>
      </c>
      <c r="D6">
        <v>311579</v>
      </c>
      <c r="E6">
        <v>0</v>
      </c>
      <c r="F6">
        <v>0</v>
      </c>
      <c r="G6">
        <v>0</v>
      </c>
      <c r="H6" t="s">
        <v>248</v>
      </c>
      <c r="I6">
        <v>4</v>
      </c>
      <c r="J6">
        <v>2010</v>
      </c>
    </row>
    <row r="7" spans="1:10">
      <c r="A7" t="s">
        <v>55</v>
      </c>
      <c r="B7">
        <v>180319</v>
      </c>
      <c r="C7">
        <v>227561</v>
      </c>
      <c r="D7">
        <v>201950</v>
      </c>
      <c r="E7">
        <v>0</v>
      </c>
      <c r="F7">
        <v>0</v>
      </c>
      <c r="G7">
        <v>0</v>
      </c>
      <c r="H7" t="s">
        <v>248</v>
      </c>
      <c r="I7">
        <v>4</v>
      </c>
      <c r="J7">
        <v>2010</v>
      </c>
    </row>
    <row r="8" spans="1:10">
      <c r="A8" t="s">
        <v>65</v>
      </c>
      <c r="B8">
        <v>579485</v>
      </c>
      <c r="C8">
        <v>743638</v>
      </c>
      <c r="D8">
        <v>743638</v>
      </c>
      <c r="E8">
        <v>0</v>
      </c>
      <c r="F8">
        <v>0</v>
      </c>
      <c r="G8">
        <v>0</v>
      </c>
      <c r="H8" t="s">
        <v>248</v>
      </c>
      <c r="I8">
        <v>4</v>
      </c>
      <c r="J8">
        <v>2010</v>
      </c>
    </row>
    <row r="9" spans="1:10">
      <c r="A9" t="s">
        <v>66</v>
      </c>
      <c r="B9">
        <v>8000</v>
      </c>
      <c r="C9">
        <v>16552</v>
      </c>
      <c r="D9">
        <v>20485</v>
      </c>
      <c r="E9">
        <v>0</v>
      </c>
      <c r="F9">
        <v>0</v>
      </c>
      <c r="G9">
        <v>0</v>
      </c>
      <c r="H9" t="s">
        <v>248</v>
      </c>
      <c r="I9">
        <v>4</v>
      </c>
      <c r="J9">
        <v>2010</v>
      </c>
    </row>
    <row r="10" spans="1:10">
      <c r="A10" t="s">
        <v>70</v>
      </c>
      <c r="B10">
        <v>7168</v>
      </c>
      <c r="C10">
        <v>7168</v>
      </c>
      <c r="D10">
        <v>20745</v>
      </c>
      <c r="E10">
        <v>0</v>
      </c>
      <c r="F10">
        <v>0</v>
      </c>
      <c r="G10">
        <v>0</v>
      </c>
      <c r="H10" t="s">
        <v>248</v>
      </c>
      <c r="I10">
        <v>4</v>
      </c>
      <c r="J10">
        <v>2010</v>
      </c>
    </row>
    <row r="11" spans="1:10">
      <c r="A11" t="s">
        <v>72</v>
      </c>
      <c r="B11">
        <v>6000</v>
      </c>
      <c r="C11">
        <v>6000</v>
      </c>
      <c r="D11">
        <v>0</v>
      </c>
      <c r="E11">
        <v>0</v>
      </c>
      <c r="F11">
        <v>0</v>
      </c>
      <c r="G11">
        <v>0</v>
      </c>
      <c r="H11" t="s">
        <v>248</v>
      </c>
      <c r="I11">
        <v>4</v>
      </c>
      <c r="J11">
        <v>2010</v>
      </c>
    </row>
    <row r="12" spans="1:10">
      <c r="A12" t="s">
        <v>81</v>
      </c>
      <c r="B12">
        <v>340004</v>
      </c>
      <c r="C12">
        <v>386915</v>
      </c>
      <c r="D12">
        <v>386915</v>
      </c>
      <c r="E12">
        <v>0</v>
      </c>
      <c r="F12">
        <v>0</v>
      </c>
      <c r="G12">
        <v>0</v>
      </c>
      <c r="H12" t="s">
        <v>248</v>
      </c>
      <c r="I12">
        <v>4</v>
      </c>
      <c r="J12">
        <v>2010</v>
      </c>
    </row>
    <row r="13" spans="1:10">
      <c r="A13" t="s">
        <v>83</v>
      </c>
      <c r="B13">
        <v>2073151</v>
      </c>
      <c r="C13">
        <v>2262061</v>
      </c>
      <c r="D13">
        <v>2262061</v>
      </c>
      <c r="E13">
        <v>0</v>
      </c>
      <c r="F13">
        <v>0</v>
      </c>
      <c r="G13">
        <v>156414</v>
      </c>
      <c r="H13" t="s">
        <v>248</v>
      </c>
      <c r="I13">
        <v>4</v>
      </c>
      <c r="J13">
        <v>2010</v>
      </c>
    </row>
    <row r="14" spans="1:10">
      <c r="A14" t="s">
        <v>85</v>
      </c>
      <c r="B14">
        <v>557756</v>
      </c>
      <c r="C14">
        <v>668651</v>
      </c>
      <c r="D14">
        <v>668651</v>
      </c>
      <c r="E14">
        <v>0</v>
      </c>
      <c r="F14">
        <v>0</v>
      </c>
      <c r="G14">
        <v>0</v>
      </c>
      <c r="H14" t="s">
        <v>248</v>
      </c>
      <c r="I14">
        <v>4</v>
      </c>
      <c r="J14">
        <v>2010</v>
      </c>
    </row>
    <row r="15" spans="1:10">
      <c r="A15" t="s">
        <v>87</v>
      </c>
      <c r="B15">
        <v>847773</v>
      </c>
      <c r="C15">
        <v>1072756</v>
      </c>
      <c r="D15">
        <v>1072756</v>
      </c>
      <c r="E15">
        <v>0</v>
      </c>
      <c r="F15">
        <v>0</v>
      </c>
      <c r="G15">
        <v>0</v>
      </c>
      <c r="H15" t="s">
        <v>248</v>
      </c>
      <c r="I15">
        <v>4</v>
      </c>
      <c r="J15">
        <v>2010</v>
      </c>
    </row>
    <row r="16" spans="1:10">
      <c r="A16" t="s">
        <v>89</v>
      </c>
      <c r="B16">
        <v>50736</v>
      </c>
      <c r="C16">
        <v>54313</v>
      </c>
      <c r="D16">
        <v>54313</v>
      </c>
      <c r="E16">
        <v>0</v>
      </c>
      <c r="F16">
        <v>0</v>
      </c>
      <c r="G16">
        <v>0</v>
      </c>
      <c r="H16" t="s">
        <v>248</v>
      </c>
      <c r="I16">
        <v>4</v>
      </c>
      <c r="J16">
        <v>2010</v>
      </c>
    </row>
    <row r="17" spans="1:10">
      <c r="A17" t="s">
        <v>91</v>
      </c>
      <c r="B17">
        <v>790121</v>
      </c>
      <c r="C17">
        <v>1502661</v>
      </c>
      <c r="D17">
        <v>1514460</v>
      </c>
      <c r="E17">
        <v>0</v>
      </c>
      <c r="F17">
        <v>0</v>
      </c>
      <c r="G17">
        <v>0</v>
      </c>
      <c r="H17" t="s">
        <v>248</v>
      </c>
      <c r="I17">
        <v>4</v>
      </c>
      <c r="J17">
        <v>2010</v>
      </c>
    </row>
    <row r="18" spans="1:10">
      <c r="A18" t="s">
        <v>95</v>
      </c>
      <c r="B18">
        <v>0</v>
      </c>
      <c r="C18">
        <v>22548</v>
      </c>
      <c r="D18">
        <v>3047</v>
      </c>
      <c r="E18">
        <v>0</v>
      </c>
      <c r="F18">
        <v>0</v>
      </c>
      <c r="G18">
        <v>0</v>
      </c>
      <c r="H18" t="s">
        <v>248</v>
      </c>
      <c r="I18">
        <v>4</v>
      </c>
      <c r="J18">
        <v>2010</v>
      </c>
    </row>
    <row r="19" spans="1:10">
      <c r="A19" t="s">
        <v>97</v>
      </c>
      <c r="B19">
        <v>9434</v>
      </c>
      <c r="C19">
        <v>9434</v>
      </c>
      <c r="D19">
        <v>4554</v>
      </c>
      <c r="E19">
        <v>0</v>
      </c>
      <c r="F19">
        <v>0</v>
      </c>
      <c r="G19">
        <v>0</v>
      </c>
      <c r="H19" t="s">
        <v>248</v>
      </c>
      <c r="I19">
        <v>4</v>
      </c>
      <c r="J19">
        <v>2010</v>
      </c>
    </row>
    <row r="20" spans="1:10">
      <c r="A20" t="s">
        <v>105</v>
      </c>
      <c r="B20">
        <v>595377</v>
      </c>
      <c r="C20">
        <v>540683</v>
      </c>
      <c r="D20">
        <v>527770</v>
      </c>
      <c r="E20">
        <v>527770</v>
      </c>
      <c r="F20">
        <v>527770</v>
      </c>
      <c r="G20">
        <v>0</v>
      </c>
      <c r="H20" t="s">
        <v>248</v>
      </c>
      <c r="I20">
        <v>4</v>
      </c>
      <c r="J20">
        <v>2010</v>
      </c>
    </row>
    <row r="21" spans="1:10">
      <c r="A21" t="s">
        <v>107</v>
      </c>
      <c r="B21">
        <v>54242</v>
      </c>
      <c r="C21">
        <v>206254</v>
      </c>
      <c r="D21">
        <v>197353</v>
      </c>
      <c r="E21">
        <v>197353</v>
      </c>
      <c r="F21">
        <v>197353</v>
      </c>
      <c r="G21">
        <v>0</v>
      </c>
      <c r="H21" t="s">
        <v>248</v>
      </c>
      <c r="I21">
        <v>4</v>
      </c>
      <c r="J21">
        <v>2010</v>
      </c>
    </row>
    <row r="22" spans="1:10">
      <c r="A22" t="s">
        <v>111</v>
      </c>
      <c r="B22">
        <v>308670</v>
      </c>
      <c r="C22">
        <v>345429</v>
      </c>
      <c r="D22">
        <v>337491</v>
      </c>
      <c r="E22">
        <v>337491</v>
      </c>
      <c r="F22">
        <v>337491</v>
      </c>
      <c r="G22">
        <v>0</v>
      </c>
      <c r="H22" t="s">
        <v>248</v>
      </c>
      <c r="I22">
        <v>4</v>
      </c>
      <c r="J22">
        <v>2010</v>
      </c>
    </row>
    <row r="23" spans="1:10">
      <c r="A23" t="s">
        <v>117</v>
      </c>
      <c r="B23">
        <v>198023</v>
      </c>
      <c r="C23">
        <v>204363</v>
      </c>
      <c r="D23">
        <v>183192</v>
      </c>
      <c r="E23">
        <v>183192</v>
      </c>
      <c r="F23">
        <v>183192</v>
      </c>
      <c r="G23">
        <v>0</v>
      </c>
      <c r="H23" t="s">
        <v>248</v>
      </c>
      <c r="I23">
        <v>4</v>
      </c>
      <c r="J23">
        <v>2010</v>
      </c>
    </row>
    <row r="24" spans="1:10">
      <c r="A24" t="s">
        <v>119</v>
      </c>
      <c r="B24">
        <v>13000</v>
      </c>
      <c r="C24">
        <v>17640</v>
      </c>
      <c r="D24">
        <v>17640</v>
      </c>
      <c r="E24">
        <v>17640</v>
      </c>
      <c r="F24">
        <v>17640</v>
      </c>
      <c r="G24">
        <v>0</v>
      </c>
      <c r="H24" t="s">
        <v>248</v>
      </c>
      <c r="I24">
        <v>4</v>
      </c>
      <c r="J24">
        <v>2010</v>
      </c>
    </row>
    <row r="25" spans="1:10">
      <c r="A25" t="s">
        <v>121</v>
      </c>
      <c r="B25">
        <v>8000</v>
      </c>
      <c r="C25">
        <v>0</v>
      </c>
      <c r="D25">
        <v>0</v>
      </c>
      <c r="E25">
        <v>0</v>
      </c>
      <c r="F25">
        <v>0</v>
      </c>
      <c r="G25">
        <v>0</v>
      </c>
      <c r="H25" t="s">
        <v>248</v>
      </c>
      <c r="I25">
        <v>4</v>
      </c>
      <c r="J25">
        <v>2010</v>
      </c>
    </row>
    <row r="26" spans="1:10">
      <c r="A26" t="s">
        <v>123</v>
      </c>
      <c r="B26">
        <v>25405</v>
      </c>
      <c r="C26">
        <v>185405</v>
      </c>
      <c r="D26">
        <v>149974</v>
      </c>
      <c r="E26">
        <v>149974</v>
      </c>
      <c r="F26">
        <v>124056</v>
      </c>
      <c r="G26">
        <v>0</v>
      </c>
      <c r="H26" t="s">
        <v>248</v>
      </c>
      <c r="I26">
        <v>4</v>
      </c>
      <c r="J26">
        <v>2010</v>
      </c>
    </row>
    <row r="27" spans="1:10">
      <c r="A27" t="s">
        <v>125</v>
      </c>
      <c r="B27">
        <v>14606</v>
      </c>
      <c r="C27">
        <v>26993</v>
      </c>
      <c r="D27">
        <v>26940</v>
      </c>
      <c r="E27">
        <v>26940</v>
      </c>
      <c r="F27">
        <v>26940</v>
      </c>
      <c r="G27">
        <v>0</v>
      </c>
      <c r="H27" t="s">
        <v>248</v>
      </c>
      <c r="I27">
        <v>4</v>
      </c>
      <c r="J27">
        <v>2010</v>
      </c>
    </row>
    <row r="28" spans="1:10">
      <c r="A28" t="s">
        <v>129</v>
      </c>
      <c r="B28">
        <v>0</v>
      </c>
      <c r="C28">
        <v>8592</v>
      </c>
      <c r="D28">
        <v>1465</v>
      </c>
      <c r="E28">
        <v>1465</v>
      </c>
      <c r="F28">
        <v>1465</v>
      </c>
      <c r="G28">
        <v>0</v>
      </c>
      <c r="H28" t="s">
        <v>248</v>
      </c>
      <c r="I28">
        <v>4</v>
      </c>
      <c r="J28">
        <v>2010</v>
      </c>
    </row>
    <row r="29" spans="1:10">
      <c r="A29" t="s">
        <v>242</v>
      </c>
      <c r="B29">
        <v>0</v>
      </c>
      <c r="C29">
        <v>0</v>
      </c>
      <c r="D29">
        <v>15650</v>
      </c>
      <c r="E29">
        <v>11286</v>
      </c>
      <c r="F29">
        <v>11286</v>
      </c>
      <c r="G29">
        <v>0</v>
      </c>
      <c r="H29" t="s">
        <v>248</v>
      </c>
      <c r="I29">
        <v>4</v>
      </c>
      <c r="J29">
        <v>2010</v>
      </c>
    </row>
    <row r="30" spans="1:10">
      <c r="A30" t="s">
        <v>135</v>
      </c>
      <c r="B30">
        <v>2000</v>
      </c>
      <c r="C30">
        <v>93527</v>
      </c>
      <c r="D30">
        <v>93527</v>
      </c>
      <c r="E30">
        <v>93527</v>
      </c>
      <c r="F30">
        <v>93527</v>
      </c>
      <c r="G30">
        <v>0</v>
      </c>
      <c r="H30" t="s">
        <v>248</v>
      </c>
      <c r="I30">
        <v>4</v>
      </c>
      <c r="J30">
        <v>2010</v>
      </c>
    </row>
    <row r="31" spans="1:10">
      <c r="A31" t="s">
        <v>143</v>
      </c>
      <c r="B31">
        <v>197738</v>
      </c>
      <c r="C31">
        <v>224242</v>
      </c>
      <c r="D31">
        <v>212749</v>
      </c>
      <c r="E31">
        <v>212749</v>
      </c>
      <c r="F31">
        <v>212749</v>
      </c>
      <c r="G31">
        <v>0</v>
      </c>
      <c r="H31" t="s">
        <v>248</v>
      </c>
      <c r="I31">
        <v>4</v>
      </c>
      <c r="J31">
        <v>2010</v>
      </c>
    </row>
    <row r="32" spans="1:10">
      <c r="A32" t="s">
        <v>145</v>
      </c>
      <c r="B32">
        <v>2871272</v>
      </c>
      <c r="C32">
        <v>4786266</v>
      </c>
      <c r="D32">
        <v>4420449</v>
      </c>
      <c r="E32">
        <v>4086282</v>
      </c>
      <c r="F32">
        <v>4086282</v>
      </c>
      <c r="G32">
        <v>0</v>
      </c>
      <c r="H32" t="s">
        <v>248</v>
      </c>
      <c r="I32">
        <v>4</v>
      </c>
      <c r="J32">
        <v>2010</v>
      </c>
    </row>
    <row r="33" spans="1:10">
      <c r="A33" t="s">
        <v>147</v>
      </c>
      <c r="B33">
        <v>164150</v>
      </c>
      <c r="C33">
        <v>138607</v>
      </c>
      <c r="D33">
        <v>125739</v>
      </c>
      <c r="E33">
        <v>125739</v>
      </c>
      <c r="F33">
        <v>115876</v>
      </c>
      <c r="G33">
        <v>0</v>
      </c>
      <c r="H33" t="s">
        <v>248</v>
      </c>
      <c r="I33">
        <v>4</v>
      </c>
      <c r="J33">
        <v>2010</v>
      </c>
    </row>
    <row r="34" spans="1:10">
      <c r="A34" t="s">
        <v>149</v>
      </c>
      <c r="B34">
        <v>0</v>
      </c>
      <c r="C34">
        <v>423000</v>
      </c>
      <c r="D34">
        <v>0</v>
      </c>
      <c r="E34">
        <v>0</v>
      </c>
      <c r="F34">
        <v>0</v>
      </c>
      <c r="G34">
        <v>0</v>
      </c>
      <c r="H34" t="s">
        <v>248</v>
      </c>
      <c r="I34">
        <v>4</v>
      </c>
      <c r="J34">
        <v>2010</v>
      </c>
    </row>
    <row r="35" spans="1:10">
      <c r="A35" t="s">
        <v>150</v>
      </c>
      <c r="B35">
        <v>666373</v>
      </c>
      <c r="C35">
        <v>1139184</v>
      </c>
      <c r="D35">
        <v>953107</v>
      </c>
      <c r="E35">
        <v>924742</v>
      </c>
      <c r="F35">
        <v>924742</v>
      </c>
      <c r="G35">
        <v>0</v>
      </c>
      <c r="H35" t="s">
        <v>248</v>
      </c>
      <c r="I35">
        <v>4</v>
      </c>
      <c r="J35">
        <v>2010</v>
      </c>
    </row>
    <row r="36" spans="1:10">
      <c r="A36" t="s">
        <v>154</v>
      </c>
      <c r="B36">
        <v>66083</v>
      </c>
      <c r="C36">
        <v>66083</v>
      </c>
      <c r="D36">
        <v>52213</v>
      </c>
      <c r="E36">
        <v>52213</v>
      </c>
      <c r="F36">
        <v>52213</v>
      </c>
      <c r="G36">
        <v>0</v>
      </c>
      <c r="H36" t="s">
        <v>248</v>
      </c>
      <c r="I36">
        <v>4</v>
      </c>
      <c r="J36">
        <v>2010</v>
      </c>
    </row>
    <row r="37" spans="1:10">
      <c r="A37" t="s">
        <v>162</v>
      </c>
      <c r="B37">
        <v>0</v>
      </c>
      <c r="C37">
        <v>3295731</v>
      </c>
      <c r="D37">
        <v>848013</v>
      </c>
      <c r="E37">
        <v>0</v>
      </c>
      <c r="F37">
        <v>0</v>
      </c>
      <c r="G37">
        <v>0</v>
      </c>
      <c r="H37" t="s">
        <v>248</v>
      </c>
      <c r="I37">
        <v>4</v>
      </c>
      <c r="J37">
        <v>2010</v>
      </c>
    </row>
    <row r="38" spans="1:10">
      <c r="A38" t="s">
        <v>164</v>
      </c>
      <c r="B38">
        <v>25468</v>
      </c>
      <c r="C38">
        <v>25468</v>
      </c>
      <c r="D38">
        <v>28510</v>
      </c>
      <c r="E38">
        <v>0</v>
      </c>
      <c r="F38">
        <v>0</v>
      </c>
      <c r="G38">
        <v>0</v>
      </c>
      <c r="H38" t="s">
        <v>248</v>
      </c>
      <c r="I38">
        <v>4</v>
      </c>
      <c r="J38">
        <v>2010</v>
      </c>
    </row>
    <row r="39" spans="1:10">
      <c r="A39" t="s">
        <v>167</v>
      </c>
      <c r="B39">
        <v>7555</v>
      </c>
      <c r="C39">
        <v>33655</v>
      </c>
      <c r="D39">
        <v>26769</v>
      </c>
      <c r="E39">
        <v>0</v>
      </c>
      <c r="F39">
        <v>0</v>
      </c>
      <c r="G39">
        <v>0</v>
      </c>
      <c r="H39" t="s">
        <v>248</v>
      </c>
      <c r="I39">
        <v>4</v>
      </c>
      <c r="J39">
        <v>2010</v>
      </c>
    </row>
    <row r="40" spans="1:10">
      <c r="A40" t="s">
        <v>171</v>
      </c>
      <c r="B40">
        <v>3137</v>
      </c>
      <c r="C40">
        <v>1068296</v>
      </c>
      <c r="D40">
        <v>1066859</v>
      </c>
      <c r="E40">
        <v>0</v>
      </c>
      <c r="F40">
        <v>0</v>
      </c>
      <c r="G40">
        <v>0</v>
      </c>
      <c r="H40" t="s">
        <v>248</v>
      </c>
      <c r="I40">
        <v>4</v>
      </c>
      <c r="J40">
        <v>2010</v>
      </c>
    </row>
    <row r="41" spans="1:10">
      <c r="A41" t="s">
        <v>181</v>
      </c>
      <c r="B41">
        <v>12353</v>
      </c>
      <c r="C41">
        <v>30335</v>
      </c>
      <c r="D41">
        <v>6249</v>
      </c>
      <c r="E41">
        <v>0</v>
      </c>
      <c r="F41">
        <v>0</v>
      </c>
      <c r="G41">
        <v>0</v>
      </c>
      <c r="H41" t="s">
        <v>248</v>
      </c>
      <c r="I41">
        <v>4</v>
      </c>
      <c r="J41">
        <v>2010</v>
      </c>
    </row>
    <row r="42" spans="1:10">
      <c r="A42" t="s">
        <v>173</v>
      </c>
      <c r="B42">
        <v>0</v>
      </c>
      <c r="C42">
        <v>1294085</v>
      </c>
      <c r="D42">
        <v>1294085</v>
      </c>
      <c r="E42">
        <v>0</v>
      </c>
      <c r="F42">
        <v>0</v>
      </c>
      <c r="G42">
        <v>0</v>
      </c>
      <c r="H42" t="s">
        <v>248</v>
      </c>
      <c r="I42">
        <v>4</v>
      </c>
      <c r="J42">
        <v>2010</v>
      </c>
    </row>
    <row r="43" spans="1:10">
      <c r="A43" t="s">
        <v>187</v>
      </c>
      <c r="B43">
        <v>222002</v>
      </c>
      <c r="C43">
        <v>435510</v>
      </c>
      <c r="D43">
        <v>251561</v>
      </c>
      <c r="E43">
        <v>251561</v>
      </c>
      <c r="F43">
        <v>251561</v>
      </c>
      <c r="G43">
        <v>0</v>
      </c>
      <c r="H43" t="s">
        <v>248</v>
      </c>
      <c r="I43">
        <v>4</v>
      </c>
      <c r="J43">
        <v>2010</v>
      </c>
    </row>
    <row r="44" spans="1:10">
      <c r="A44" t="s">
        <v>189</v>
      </c>
      <c r="B44">
        <v>323503</v>
      </c>
      <c r="C44">
        <v>754421</v>
      </c>
      <c r="D44">
        <v>480206</v>
      </c>
      <c r="E44">
        <v>177297</v>
      </c>
      <c r="F44">
        <v>153940</v>
      </c>
      <c r="G44">
        <v>0</v>
      </c>
      <c r="H44" t="s">
        <v>248</v>
      </c>
      <c r="I44">
        <v>4</v>
      </c>
      <c r="J44">
        <v>2010</v>
      </c>
    </row>
    <row r="45" spans="1:10">
      <c r="A45" t="s">
        <v>190</v>
      </c>
      <c r="B45">
        <v>41047</v>
      </c>
      <c r="C45">
        <v>270228</v>
      </c>
      <c r="D45">
        <v>77768</v>
      </c>
      <c r="E45">
        <v>46773</v>
      </c>
      <c r="F45">
        <v>46773</v>
      </c>
      <c r="G45">
        <v>0</v>
      </c>
      <c r="H45" t="s">
        <v>248</v>
      </c>
      <c r="I45">
        <v>4</v>
      </c>
      <c r="J45">
        <v>2010</v>
      </c>
    </row>
    <row r="46" spans="1:10">
      <c r="A46" t="s">
        <v>191</v>
      </c>
      <c r="B46">
        <v>148982</v>
      </c>
      <c r="C46">
        <v>740627</v>
      </c>
      <c r="D46">
        <v>720634</v>
      </c>
      <c r="E46">
        <v>356634</v>
      </c>
      <c r="F46">
        <v>356634</v>
      </c>
      <c r="G46">
        <v>0</v>
      </c>
      <c r="H46" t="s">
        <v>248</v>
      </c>
      <c r="I46">
        <v>4</v>
      </c>
      <c r="J46">
        <v>2010</v>
      </c>
    </row>
    <row r="47" spans="1:10">
      <c r="A47" t="s">
        <v>192</v>
      </c>
      <c r="B47">
        <v>216340</v>
      </c>
      <c r="C47">
        <v>2185750</v>
      </c>
      <c r="D47">
        <v>2095995</v>
      </c>
      <c r="E47">
        <v>1280316</v>
      </c>
      <c r="F47">
        <v>568080</v>
      </c>
      <c r="G47">
        <v>0</v>
      </c>
      <c r="H47" t="s">
        <v>248</v>
      </c>
      <c r="I47">
        <v>4</v>
      </c>
      <c r="J47">
        <v>2010</v>
      </c>
    </row>
    <row r="48" spans="1:10">
      <c r="A48" t="s">
        <v>243</v>
      </c>
      <c r="B48">
        <v>0</v>
      </c>
      <c r="C48">
        <v>0</v>
      </c>
      <c r="D48">
        <v>1291957</v>
      </c>
      <c r="E48">
        <v>741488</v>
      </c>
      <c r="F48">
        <v>704931</v>
      </c>
      <c r="G48">
        <v>0</v>
      </c>
      <c r="H48" t="s">
        <v>248</v>
      </c>
      <c r="I48">
        <v>4</v>
      </c>
      <c r="J48">
        <v>2010</v>
      </c>
    </row>
    <row r="49" spans="1:10">
      <c r="A49" t="s">
        <v>194</v>
      </c>
      <c r="B49">
        <v>0</v>
      </c>
      <c r="C49">
        <v>550376</v>
      </c>
      <c r="D49">
        <v>354477</v>
      </c>
      <c r="E49">
        <v>354477</v>
      </c>
      <c r="F49">
        <v>345930</v>
      </c>
      <c r="G49">
        <v>0</v>
      </c>
      <c r="H49" t="s">
        <v>248</v>
      </c>
      <c r="I49">
        <v>4</v>
      </c>
      <c r="J49">
        <v>2010</v>
      </c>
    </row>
    <row r="50" spans="1:10">
      <c r="A50" t="s">
        <v>205</v>
      </c>
      <c r="B50">
        <v>0</v>
      </c>
      <c r="C50">
        <v>833000</v>
      </c>
      <c r="D50">
        <v>832793</v>
      </c>
      <c r="E50">
        <v>0</v>
      </c>
      <c r="F50">
        <v>0</v>
      </c>
      <c r="G50">
        <v>0</v>
      </c>
      <c r="H50" t="s">
        <v>248</v>
      </c>
      <c r="I50">
        <v>4</v>
      </c>
      <c r="J50">
        <v>2010</v>
      </c>
    </row>
    <row r="51" spans="1:10">
      <c r="A51" t="s">
        <v>207</v>
      </c>
      <c r="B51">
        <v>323849</v>
      </c>
      <c r="C51">
        <v>323849</v>
      </c>
      <c r="D51">
        <v>292031</v>
      </c>
      <c r="E51">
        <v>292031</v>
      </c>
      <c r="F51">
        <v>292031</v>
      </c>
      <c r="G51">
        <v>0</v>
      </c>
      <c r="H51" t="s">
        <v>248</v>
      </c>
      <c r="I51">
        <v>4</v>
      </c>
      <c r="J51">
        <v>2010</v>
      </c>
    </row>
    <row r="52" spans="1:10">
      <c r="A52" t="s">
        <v>238</v>
      </c>
      <c r="B52">
        <v>6460660</v>
      </c>
      <c r="C52">
        <v>14974629</v>
      </c>
      <c r="D52">
        <v>12388407</v>
      </c>
      <c r="E52">
        <v>0</v>
      </c>
      <c r="F52">
        <v>0</v>
      </c>
      <c r="G52">
        <v>156414</v>
      </c>
      <c r="H52" t="s">
        <v>248</v>
      </c>
      <c r="I52">
        <v>4</v>
      </c>
      <c r="J52">
        <v>2010</v>
      </c>
    </row>
    <row r="53" spans="1:10">
      <c r="A53" t="s">
        <v>239</v>
      </c>
      <c r="B53">
        <v>1219323</v>
      </c>
      <c r="C53">
        <v>1628886</v>
      </c>
      <c r="D53">
        <v>1535352</v>
      </c>
      <c r="E53">
        <v>1535352</v>
      </c>
      <c r="F53">
        <v>1509434</v>
      </c>
      <c r="G53">
        <v>0</v>
      </c>
      <c r="H53" t="s">
        <v>248</v>
      </c>
      <c r="I53">
        <v>4</v>
      </c>
      <c r="J53">
        <v>2010</v>
      </c>
    </row>
    <row r="54" spans="1:10">
      <c r="A54" t="s">
        <v>240</v>
      </c>
      <c r="B54">
        <v>4851407</v>
      </c>
      <c r="C54">
        <v>11648211</v>
      </c>
      <c r="D54">
        <v>9692685</v>
      </c>
      <c r="E54">
        <v>7816570</v>
      </c>
      <c r="F54">
        <v>7062567</v>
      </c>
      <c r="G54">
        <v>0</v>
      </c>
      <c r="H54" t="s">
        <v>248</v>
      </c>
      <c r="I54">
        <v>4</v>
      </c>
      <c r="J54">
        <v>2010</v>
      </c>
    </row>
    <row r="55" spans="1:10">
      <c r="A55" t="s">
        <v>241</v>
      </c>
      <c r="B55">
        <v>389932</v>
      </c>
      <c r="C55">
        <v>389932</v>
      </c>
      <c r="D55">
        <v>344244</v>
      </c>
      <c r="E55">
        <v>344244</v>
      </c>
      <c r="F55">
        <v>344244</v>
      </c>
      <c r="G55">
        <v>0</v>
      </c>
      <c r="H55" t="s">
        <v>248</v>
      </c>
      <c r="I55">
        <v>4</v>
      </c>
      <c r="J55">
        <v>2010</v>
      </c>
    </row>
    <row r="56" spans="1:10">
      <c r="A56" t="s">
        <v>5</v>
      </c>
      <c r="B56">
        <v>962200</v>
      </c>
      <c r="C56">
        <v>1413801</v>
      </c>
      <c r="D56">
        <v>1331554</v>
      </c>
      <c r="E56">
        <v>0</v>
      </c>
      <c r="F56">
        <v>0</v>
      </c>
      <c r="G56">
        <v>0</v>
      </c>
      <c r="H56" t="s">
        <v>248</v>
      </c>
      <c r="I56">
        <v>4</v>
      </c>
      <c r="J56">
        <v>2010</v>
      </c>
    </row>
    <row r="57" spans="1:10">
      <c r="A57" t="s">
        <v>6</v>
      </c>
      <c r="B57">
        <v>5475415</v>
      </c>
      <c r="C57">
        <v>7005726</v>
      </c>
      <c r="D57">
        <v>6982085</v>
      </c>
      <c r="E57">
        <v>0</v>
      </c>
      <c r="F57">
        <v>0</v>
      </c>
      <c r="G57">
        <v>156414</v>
      </c>
      <c r="H57" t="s">
        <v>248</v>
      </c>
      <c r="I57">
        <v>4</v>
      </c>
      <c r="J57">
        <v>2010</v>
      </c>
    </row>
    <row r="58" spans="1:10">
      <c r="A58" t="s">
        <v>7</v>
      </c>
      <c r="B58">
        <v>23045</v>
      </c>
      <c r="C58">
        <v>6555102</v>
      </c>
      <c r="D58">
        <v>4074768</v>
      </c>
      <c r="E58">
        <v>0</v>
      </c>
      <c r="F58">
        <v>0</v>
      </c>
      <c r="G58">
        <v>0</v>
      </c>
      <c r="H58" t="s">
        <v>248</v>
      </c>
      <c r="I58">
        <v>4</v>
      </c>
      <c r="J58">
        <v>2010</v>
      </c>
    </row>
    <row r="59" spans="1:10">
      <c r="A59" t="s">
        <v>8</v>
      </c>
      <c r="B59">
        <v>1021300</v>
      </c>
      <c r="C59">
        <v>1424523</v>
      </c>
      <c r="D59">
        <v>1352160</v>
      </c>
      <c r="E59">
        <v>1352160</v>
      </c>
      <c r="F59">
        <v>1326242</v>
      </c>
      <c r="G59">
        <v>0</v>
      </c>
      <c r="H59" t="s">
        <v>248</v>
      </c>
      <c r="I59">
        <v>4</v>
      </c>
      <c r="J59">
        <v>2010</v>
      </c>
    </row>
    <row r="60" spans="1:10">
      <c r="A60" t="s">
        <v>9</v>
      </c>
      <c r="B60">
        <v>119761</v>
      </c>
      <c r="C60">
        <v>127111</v>
      </c>
      <c r="D60">
        <v>107592</v>
      </c>
      <c r="E60">
        <v>107592</v>
      </c>
      <c r="F60">
        <v>107592</v>
      </c>
      <c r="G60">
        <v>0</v>
      </c>
      <c r="H60" t="s">
        <v>248</v>
      </c>
      <c r="I60">
        <v>4</v>
      </c>
      <c r="J60">
        <v>2010</v>
      </c>
    </row>
    <row r="61" spans="1:10">
      <c r="A61" t="s">
        <v>10</v>
      </c>
      <c r="B61">
        <v>78262</v>
      </c>
      <c r="C61">
        <v>77252</v>
      </c>
      <c r="D61">
        <v>75600</v>
      </c>
      <c r="E61">
        <v>75600</v>
      </c>
      <c r="F61">
        <v>75600</v>
      </c>
      <c r="G61">
        <v>0</v>
      </c>
      <c r="H61" t="s">
        <v>248</v>
      </c>
      <c r="I61">
        <v>4</v>
      </c>
      <c r="J61">
        <v>2010</v>
      </c>
    </row>
    <row r="62" spans="1:10">
      <c r="A62" t="s">
        <v>11</v>
      </c>
      <c r="B62">
        <v>419740</v>
      </c>
      <c r="C62">
        <v>971662</v>
      </c>
      <c r="D62">
        <v>581321</v>
      </c>
      <c r="E62">
        <v>581321</v>
      </c>
      <c r="F62">
        <v>572774</v>
      </c>
      <c r="G62">
        <v>0</v>
      </c>
      <c r="H62" t="s">
        <v>248</v>
      </c>
      <c r="I62">
        <v>4</v>
      </c>
      <c r="J62">
        <v>2010</v>
      </c>
    </row>
    <row r="63" spans="1:10">
      <c r="A63" t="s">
        <v>12</v>
      </c>
      <c r="B63">
        <v>2871272</v>
      </c>
      <c r="C63">
        <v>4786266</v>
      </c>
      <c r="D63">
        <v>4420449</v>
      </c>
      <c r="E63">
        <v>4086282</v>
      </c>
      <c r="F63">
        <v>4086282</v>
      </c>
      <c r="G63">
        <v>0</v>
      </c>
      <c r="H63" t="s">
        <v>248</v>
      </c>
      <c r="I63">
        <v>4</v>
      </c>
      <c r="J63">
        <v>2010</v>
      </c>
    </row>
    <row r="64" spans="1:10">
      <c r="A64" t="s">
        <v>13</v>
      </c>
      <c r="B64">
        <v>487653</v>
      </c>
      <c r="C64">
        <v>893028</v>
      </c>
      <c r="D64">
        <v>605945</v>
      </c>
      <c r="E64">
        <v>303036</v>
      </c>
      <c r="F64">
        <v>269816</v>
      </c>
      <c r="G64">
        <v>0</v>
      </c>
      <c r="H64" t="s">
        <v>248</v>
      </c>
      <c r="I64">
        <v>4</v>
      </c>
      <c r="J64">
        <v>2010</v>
      </c>
    </row>
    <row r="65" spans="1:10">
      <c r="A65" t="s">
        <v>14</v>
      </c>
      <c r="B65">
        <v>77210</v>
      </c>
      <c r="C65">
        <v>125206</v>
      </c>
      <c r="D65">
        <v>96341</v>
      </c>
      <c r="E65">
        <v>96341</v>
      </c>
      <c r="F65">
        <v>96341</v>
      </c>
      <c r="G65">
        <v>0</v>
      </c>
      <c r="H65" t="s">
        <v>248</v>
      </c>
      <c r="I65">
        <v>4</v>
      </c>
      <c r="J65">
        <v>2010</v>
      </c>
    </row>
    <row r="66" spans="1:10">
      <c r="A66" t="s">
        <v>15</v>
      </c>
      <c r="B66">
        <v>59170</v>
      </c>
      <c r="C66">
        <v>89282</v>
      </c>
      <c r="D66">
        <v>86234</v>
      </c>
      <c r="E66">
        <v>86234</v>
      </c>
      <c r="F66">
        <v>86234</v>
      </c>
      <c r="G66">
        <v>0</v>
      </c>
      <c r="H66" t="s">
        <v>248</v>
      </c>
      <c r="I66">
        <v>4</v>
      </c>
      <c r="J66">
        <v>2010</v>
      </c>
    </row>
    <row r="67" spans="1:10">
      <c r="A67" t="s">
        <v>16</v>
      </c>
      <c r="B67">
        <v>63006</v>
      </c>
      <c r="C67">
        <v>251745</v>
      </c>
      <c r="D67">
        <v>241101</v>
      </c>
      <c r="E67">
        <v>241101</v>
      </c>
      <c r="F67">
        <v>241101</v>
      </c>
      <c r="G67">
        <v>0</v>
      </c>
      <c r="H67" t="s">
        <v>248</v>
      </c>
      <c r="I67">
        <v>4</v>
      </c>
      <c r="J67">
        <v>2010</v>
      </c>
    </row>
    <row r="68" spans="1:10">
      <c r="A68" t="s">
        <v>17</v>
      </c>
      <c r="B68">
        <v>41047</v>
      </c>
      <c r="C68">
        <v>882028</v>
      </c>
      <c r="D68">
        <v>266568</v>
      </c>
      <c r="E68">
        <v>235573</v>
      </c>
      <c r="F68">
        <v>235573</v>
      </c>
      <c r="G68">
        <v>0</v>
      </c>
      <c r="H68" t="s">
        <v>248</v>
      </c>
      <c r="I68">
        <v>4</v>
      </c>
      <c r="J68">
        <v>2010</v>
      </c>
    </row>
    <row r="69" spans="1:10">
      <c r="A69" t="s">
        <v>18</v>
      </c>
      <c r="B69">
        <v>136137</v>
      </c>
      <c r="C69">
        <v>151537</v>
      </c>
      <c r="D69">
        <v>139439</v>
      </c>
      <c r="E69">
        <v>132086</v>
      </c>
      <c r="F69">
        <v>132086</v>
      </c>
      <c r="G69">
        <v>0</v>
      </c>
      <c r="H69" t="s">
        <v>248</v>
      </c>
      <c r="I69">
        <v>4</v>
      </c>
      <c r="J69">
        <v>2010</v>
      </c>
    </row>
    <row r="70" spans="1:10">
      <c r="A70" t="s">
        <v>19</v>
      </c>
      <c r="B70">
        <v>148982</v>
      </c>
      <c r="C70">
        <v>765557</v>
      </c>
      <c r="D70">
        <v>745564</v>
      </c>
      <c r="E70">
        <v>381564</v>
      </c>
      <c r="F70">
        <v>381564</v>
      </c>
      <c r="G70">
        <v>0</v>
      </c>
      <c r="H70" t="s">
        <v>248</v>
      </c>
      <c r="I70">
        <v>4</v>
      </c>
      <c r="J70">
        <v>2010</v>
      </c>
    </row>
    <row r="71" spans="1:10">
      <c r="A71" t="s">
        <v>20</v>
      </c>
      <c r="B71">
        <v>547190</v>
      </c>
      <c r="C71">
        <v>2731900</v>
      </c>
      <c r="D71">
        <v>2509723</v>
      </c>
      <c r="E71">
        <v>1673032</v>
      </c>
      <c r="F71">
        <v>960796</v>
      </c>
      <c r="G71">
        <v>0</v>
      </c>
      <c r="H71" t="s">
        <v>248</v>
      </c>
      <c r="I71">
        <v>4</v>
      </c>
      <c r="J71">
        <v>2010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topLeftCell="A38" workbookViewId="0"/>
  </sheetViews>
  <sheetFormatPr baseColWidth="10" defaultRowHeight="12.75"/>
  <cols>
    <col min="1" max="1" width="3.42578125" style="33" customWidth="1"/>
    <col min="2" max="2" width="13.7109375" style="33" bestFit="1" customWidth="1"/>
    <col min="3" max="7" width="11.42578125" style="33"/>
    <col min="8" max="8" width="13.42578125" style="33" customWidth="1"/>
    <col min="9" max="9" width="6.5703125" style="33" customWidth="1"/>
    <col min="10" max="10" width="3.42578125" style="33" customWidth="1"/>
    <col min="11" max="16" width="11.42578125" style="33"/>
    <col min="17" max="17" width="15.5703125" style="33" customWidth="1"/>
    <col min="18" max="18" width="9.7109375" style="33" customWidth="1"/>
    <col min="19" max="16384" width="11.42578125" style="33"/>
  </cols>
  <sheetData>
    <row r="1" spans="1:4">
      <c r="B1" s="180" t="str">
        <f>+'Datos '!B6</f>
        <v>CIÉNAGA</v>
      </c>
      <c r="C1" s="180"/>
      <c r="D1" s="180"/>
    </row>
    <row r="10" spans="1:4">
      <c r="A10" s="34"/>
    </row>
    <row r="66" spans="2:2">
      <c r="B66" s="35"/>
    </row>
    <row r="81" spans="2:7">
      <c r="B81" s="34"/>
      <c r="D81" s="36"/>
      <c r="G81" s="37"/>
    </row>
    <row r="82" spans="2:7">
      <c r="B82" s="34"/>
      <c r="G82" s="37"/>
    </row>
    <row r="83" spans="2:7">
      <c r="G83" s="38"/>
    </row>
    <row r="89" spans="2:7">
      <c r="B89" s="39"/>
    </row>
    <row r="114" spans="1:1">
      <c r="A114" s="40"/>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workbookViewId="0">
      <selection activeCell="E1" sqref="E1"/>
    </sheetView>
  </sheetViews>
  <sheetFormatPr baseColWidth="10" defaultRowHeight="12.75"/>
  <cols>
    <col min="1" max="1" width="3.42578125" style="128" customWidth="1"/>
    <col min="2" max="2" width="13.7109375" style="128" bestFit="1" customWidth="1"/>
    <col min="3" max="8" width="11.42578125" style="128"/>
    <col min="9" max="9" width="13.42578125" style="128" customWidth="1"/>
    <col min="10" max="10" width="6.5703125" style="128" customWidth="1"/>
    <col min="11" max="11" width="3.42578125" style="128" customWidth="1"/>
    <col min="12" max="18" width="11.42578125" style="128"/>
    <col min="19" max="19" width="15.5703125" style="128" customWidth="1"/>
    <col min="20" max="20" width="9.7109375" style="128" customWidth="1"/>
    <col min="21" max="16384" width="11.42578125" style="128"/>
  </cols>
  <sheetData>
    <row r="1" spans="1:21">
      <c r="B1" s="178" t="str">
        <f>+'Datos '!B4</f>
        <v>MAGDALENA</v>
      </c>
      <c r="C1" s="179"/>
      <c r="D1" s="179"/>
    </row>
    <row r="6" spans="1:21" ht="18">
      <c r="U6" s="135"/>
    </row>
    <row r="7" spans="1:21" ht="18">
      <c r="U7" s="135"/>
    </row>
    <row r="16" spans="1:21">
      <c r="A16" s="127"/>
    </row>
    <row r="80" spans="2:2">
      <c r="B80" s="129"/>
    </row>
    <row r="81" spans="2:14">
      <c r="L81" s="128" t="s">
        <v>471</v>
      </c>
      <c r="M81" s="148">
        <v>32382.819</v>
      </c>
      <c r="N81" s="150">
        <f>+M81/$M$88*100</f>
        <v>44.607413241691582</v>
      </c>
    </row>
    <row r="82" spans="2:14">
      <c r="L82" s="128" t="s">
        <v>472</v>
      </c>
      <c r="M82" s="148">
        <v>6861.1809999999996</v>
      </c>
      <c r="N82" s="150">
        <f t="shared" ref="N82:N88" si="0">+M82/$M$88*100</f>
        <v>9.4512937923360738</v>
      </c>
    </row>
    <row r="83" spans="2:14">
      <c r="L83" s="128" t="s">
        <v>473</v>
      </c>
      <c r="M83" s="148">
        <v>2875.8229999999999</v>
      </c>
      <c r="N83" s="150">
        <f t="shared" si="0"/>
        <v>3.9614532932096247</v>
      </c>
    </row>
    <row r="84" spans="2:14">
      <c r="L84" s="128" t="s">
        <v>474</v>
      </c>
      <c r="M84" s="148">
        <v>3866.1750000000002</v>
      </c>
      <c r="N84" s="150">
        <f t="shared" si="0"/>
        <v>5.3256656219366505</v>
      </c>
    </row>
    <row r="85" spans="2:14">
      <c r="L85" s="128" t="s">
        <v>475</v>
      </c>
      <c r="M85" s="148">
        <v>444.39699999999999</v>
      </c>
      <c r="N85" s="150">
        <f t="shared" si="0"/>
        <v>0.61215796630824559</v>
      </c>
    </row>
    <row r="86" spans="2:14">
      <c r="L86" s="128" t="s">
        <v>476</v>
      </c>
      <c r="M86" s="148">
        <v>3178.06</v>
      </c>
      <c r="N86" s="150">
        <f t="shared" si="0"/>
        <v>4.3777855080155419</v>
      </c>
    </row>
    <row r="87" spans="2:14">
      <c r="L87" s="128" t="s">
        <v>477</v>
      </c>
      <c r="M87" s="148">
        <v>22986.696</v>
      </c>
      <c r="N87" s="150">
        <f t="shared" si="0"/>
        <v>31.664230576502277</v>
      </c>
    </row>
    <row r="88" spans="2:14">
      <c r="L88" s="128" t="s">
        <v>478</v>
      </c>
      <c r="M88" s="149">
        <f>SUM(M81:M87)</f>
        <v>72595.150999999998</v>
      </c>
      <c r="N88" s="150">
        <f t="shared" si="0"/>
        <v>100</v>
      </c>
    </row>
    <row r="95" spans="2:14">
      <c r="B95" s="127"/>
      <c r="D95" s="130"/>
      <c r="H95" s="131"/>
    </row>
    <row r="96" spans="2:14">
      <c r="B96" s="127"/>
      <c r="H96" s="131"/>
    </row>
    <row r="97" spans="2:8">
      <c r="H97" s="132"/>
    </row>
    <row r="103" spans="2:8">
      <c r="B103" s="133"/>
    </row>
    <row r="104" spans="2:8">
      <c r="G104" s="128">
        <f>60000/135837*100</f>
        <v>44.170586806245723</v>
      </c>
    </row>
    <row r="124" spans="1:17" ht="15.75">
      <c r="M124" s="174" t="s">
        <v>481</v>
      </c>
      <c r="N124" s="174" t="s">
        <v>482</v>
      </c>
      <c r="O124" s="174" t="s">
        <v>483</v>
      </c>
      <c r="P124" s="174" t="s">
        <v>478</v>
      </c>
      <c r="Q124" s="174" t="s">
        <v>484</v>
      </c>
    </row>
    <row r="125" spans="1:17">
      <c r="M125" s="171">
        <v>2011</v>
      </c>
      <c r="N125" s="172">
        <v>78000</v>
      </c>
      <c r="O125" s="172">
        <v>1280</v>
      </c>
      <c r="P125" s="172">
        <f>+O125+N125</f>
        <v>79280</v>
      </c>
      <c r="Q125" s="173">
        <f>+P125/$P$133*100</f>
        <v>14.102094324654118</v>
      </c>
    </row>
    <row r="126" spans="1:17">
      <c r="M126" s="171">
        <v>2012</v>
      </c>
      <c r="N126" s="172">
        <v>75400</v>
      </c>
      <c r="O126" s="172">
        <v>1306</v>
      </c>
      <c r="P126" s="172">
        <f t="shared" ref="P126:P133" si="1">+O126+N126</f>
        <v>76706</v>
      </c>
      <c r="Q126" s="173">
        <f t="shared" ref="Q126:Q133" si="2">+P126/$P$133*100</f>
        <v>13.644238739491913</v>
      </c>
    </row>
    <row r="127" spans="1:17">
      <c r="M127" s="171">
        <v>2013</v>
      </c>
      <c r="N127" s="172">
        <v>72800</v>
      </c>
      <c r="O127" s="172">
        <v>1332</v>
      </c>
      <c r="P127" s="172">
        <f t="shared" si="1"/>
        <v>74132</v>
      </c>
      <c r="Q127" s="173">
        <f t="shared" si="2"/>
        <v>13.186383154329706</v>
      </c>
    </row>
    <row r="128" spans="1:17">
      <c r="A128" s="134"/>
      <c r="M128" s="171">
        <v>2014</v>
      </c>
      <c r="N128" s="172">
        <v>70200</v>
      </c>
      <c r="O128" s="172">
        <v>1358</v>
      </c>
      <c r="P128" s="172">
        <f t="shared" si="1"/>
        <v>71558</v>
      </c>
      <c r="Q128" s="173">
        <f t="shared" si="2"/>
        <v>12.7285275691675</v>
      </c>
    </row>
    <row r="129" spans="13:17">
      <c r="M129" s="171">
        <v>2015</v>
      </c>
      <c r="N129" s="172">
        <v>67600</v>
      </c>
      <c r="O129" s="172">
        <v>1386</v>
      </c>
      <c r="P129" s="172">
        <f t="shared" si="1"/>
        <v>68986</v>
      </c>
      <c r="Q129" s="173">
        <f t="shared" si="2"/>
        <v>12.271027738150719</v>
      </c>
    </row>
    <row r="130" spans="13:17">
      <c r="M130" s="171">
        <v>2016</v>
      </c>
      <c r="N130" s="172">
        <v>65000</v>
      </c>
      <c r="O130" s="172">
        <v>1413</v>
      </c>
      <c r="P130" s="172">
        <f t="shared" si="1"/>
        <v>66413</v>
      </c>
      <c r="Q130" s="173">
        <f t="shared" si="2"/>
        <v>11.813350030061226</v>
      </c>
    </row>
    <row r="131" spans="13:17">
      <c r="M131" s="171">
        <v>2017</v>
      </c>
      <c r="N131" s="172">
        <v>62400</v>
      </c>
      <c r="O131" s="172">
        <v>1441</v>
      </c>
      <c r="P131" s="172">
        <f t="shared" si="1"/>
        <v>63841</v>
      </c>
      <c r="Q131" s="173">
        <f t="shared" si="2"/>
        <v>11.355850199044443</v>
      </c>
    </row>
    <row r="132" spans="13:17">
      <c r="M132" s="171">
        <v>2018</v>
      </c>
      <c r="N132" s="172">
        <v>59800</v>
      </c>
      <c r="O132" s="172">
        <v>1470</v>
      </c>
      <c r="P132" s="172">
        <f t="shared" si="1"/>
        <v>61270</v>
      </c>
      <c r="Q132" s="173">
        <f t="shared" si="2"/>
        <v>10.898528245100376</v>
      </c>
    </row>
    <row r="133" spans="13:17" ht="15.75">
      <c r="M133" s="175" t="s">
        <v>478</v>
      </c>
      <c r="N133" s="175">
        <f>SUM(N125:N132)</f>
        <v>551200</v>
      </c>
      <c r="O133" s="175">
        <f>SUM(O125:O132)</f>
        <v>10986</v>
      </c>
      <c r="P133" s="175">
        <f t="shared" si="1"/>
        <v>562186</v>
      </c>
      <c r="Q133" s="176">
        <f t="shared" si="2"/>
        <v>100</v>
      </c>
    </row>
    <row r="135" spans="13:17">
      <c r="N135" s="128">
        <v>73600</v>
      </c>
    </row>
    <row r="136" spans="13:17">
      <c r="N136" s="170">
        <f>+N135+N133</f>
        <v>624800</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6"/>
  <sheetViews>
    <sheetView workbookViewId="0">
      <pane ySplit="3" topLeftCell="A4" activePane="bottomLeft" state="frozen"/>
      <selection activeCell="C1" sqref="C1"/>
      <selection pane="bottomLeft" activeCell="D3" sqref="D3"/>
    </sheetView>
  </sheetViews>
  <sheetFormatPr baseColWidth="10" defaultRowHeight="15"/>
  <cols>
    <col min="1" max="1" width="12.42578125" style="1" bestFit="1" customWidth="1"/>
    <col min="2" max="2" width="57.7109375" style="2" customWidth="1"/>
    <col min="3" max="3" width="11.7109375" style="3" hidden="1" customWidth="1"/>
    <col min="4" max="4" width="14.42578125" bestFit="1" customWidth="1"/>
    <col min="5" max="5" width="13.7109375" bestFit="1" customWidth="1"/>
    <col min="6" max="6" width="17" bestFit="1" customWidth="1"/>
    <col min="7" max="7" width="14.28515625" customWidth="1"/>
    <col min="8" max="8" width="13.7109375" bestFit="1" customWidth="1"/>
    <col min="9" max="9" width="13.5703125" customWidth="1"/>
    <col min="10" max="13" width="13.7109375" bestFit="1" customWidth="1"/>
  </cols>
  <sheetData>
    <row r="1" spans="1:13" ht="15.75">
      <c r="A1" s="220" t="s">
        <v>485</v>
      </c>
      <c r="B1" s="220"/>
      <c r="C1" s="220"/>
      <c r="D1" s="160"/>
      <c r="E1" s="205"/>
      <c r="F1" s="160"/>
      <c r="G1" s="160"/>
      <c r="H1" s="160"/>
      <c r="I1" s="160"/>
    </row>
    <row r="2" spans="1:13" ht="15.75">
      <c r="A2" s="144" t="str">
        <f>'Datos '!B6&amp;" - "&amp;+'Datos '!B4</f>
        <v>CIÉNAGA - MAGDALENA</v>
      </c>
      <c r="B2" s="206"/>
      <c r="C2" s="206"/>
      <c r="D2" s="160"/>
      <c r="E2" s="160">
        <v>1.03</v>
      </c>
      <c r="F2" s="160">
        <v>1.03</v>
      </c>
      <c r="G2" s="160">
        <v>1.03</v>
      </c>
      <c r="H2" s="160">
        <v>1.03</v>
      </c>
      <c r="I2" s="160">
        <v>1.03</v>
      </c>
      <c r="J2" s="160">
        <v>1.03</v>
      </c>
      <c r="K2" s="160">
        <v>1.03</v>
      </c>
      <c r="L2" s="160">
        <v>1.03</v>
      </c>
      <c r="M2" s="160">
        <v>1.03</v>
      </c>
    </row>
    <row r="3" spans="1:13" ht="25.5" customHeight="1">
      <c r="A3" s="26" t="s">
        <v>0</v>
      </c>
      <c r="B3" s="26" t="s">
        <v>24</v>
      </c>
      <c r="C3" s="27">
        <v>2011</v>
      </c>
      <c r="D3" s="27">
        <v>2014</v>
      </c>
      <c r="E3" s="27">
        <v>2015</v>
      </c>
      <c r="F3" s="27">
        <v>2016</v>
      </c>
      <c r="G3" s="27">
        <v>2017</v>
      </c>
      <c r="H3" s="27">
        <v>2018</v>
      </c>
      <c r="I3" s="27">
        <v>2019</v>
      </c>
      <c r="J3" s="27">
        <v>2020</v>
      </c>
      <c r="K3" s="27">
        <v>2021</v>
      </c>
      <c r="L3" s="27">
        <v>2020</v>
      </c>
      <c r="M3" s="27">
        <v>2021</v>
      </c>
    </row>
    <row r="4" spans="1:13">
      <c r="A4" s="24" t="s">
        <v>25</v>
      </c>
      <c r="B4" s="25" t="s">
        <v>26</v>
      </c>
      <c r="C4" s="152">
        <f t="shared" ref="C4:M4" si="0">C5+C80</f>
        <v>0</v>
      </c>
      <c r="D4" s="152">
        <f t="shared" si="0"/>
        <v>90860824829.850006</v>
      </c>
      <c r="E4" s="152">
        <f t="shared" si="0"/>
        <v>73957194198.765503</v>
      </c>
      <c r="F4" s="152">
        <f t="shared" si="0"/>
        <v>76175910024.72847</v>
      </c>
      <c r="G4" s="152">
        <f t="shared" si="0"/>
        <v>78461187325.470337</v>
      </c>
      <c r="H4" s="152">
        <f t="shared" si="0"/>
        <v>80815022945.234436</v>
      </c>
      <c r="I4" s="152">
        <f t="shared" si="0"/>
        <v>83239473633.591476</v>
      </c>
      <c r="J4" s="152">
        <f t="shared" si="0"/>
        <v>85736657842.599213</v>
      </c>
      <c r="K4" s="152">
        <f t="shared" si="0"/>
        <v>88308757577.877197</v>
      </c>
      <c r="L4" s="152">
        <f t="shared" si="0"/>
        <v>90958020305.213516</v>
      </c>
      <c r="M4" s="152">
        <f t="shared" si="0"/>
        <v>93686760914.369934</v>
      </c>
    </row>
    <row r="5" spans="1:13">
      <c r="A5" s="6" t="s">
        <v>27</v>
      </c>
      <c r="B5" s="7" t="s">
        <v>28</v>
      </c>
      <c r="C5" s="153">
        <f t="shared" ref="C5:M5" si="1">C6+C18+C21</f>
        <v>0</v>
      </c>
      <c r="D5" s="153">
        <f t="shared" si="1"/>
        <v>48889466161.849998</v>
      </c>
      <c r="E5" s="153">
        <f t="shared" si="1"/>
        <v>50356150146.70549</v>
      </c>
      <c r="F5" s="153">
        <f t="shared" si="1"/>
        <v>51866834651.106667</v>
      </c>
      <c r="G5" s="153">
        <f t="shared" si="1"/>
        <v>53422839690.639877</v>
      </c>
      <c r="H5" s="153">
        <f t="shared" si="1"/>
        <v>55025524881.35907</v>
      </c>
      <c r="I5" s="153">
        <f t="shared" si="1"/>
        <v>56676290627.799843</v>
      </c>
      <c r="J5" s="153">
        <f t="shared" si="1"/>
        <v>58376579346.633835</v>
      </c>
      <c r="K5" s="153">
        <f t="shared" si="1"/>
        <v>60127876727.032852</v>
      </c>
      <c r="L5" s="153">
        <f t="shared" si="1"/>
        <v>61931713028.843842</v>
      </c>
      <c r="M5" s="153">
        <f t="shared" si="1"/>
        <v>63789664419.709167</v>
      </c>
    </row>
    <row r="6" spans="1:13">
      <c r="A6" s="6" t="s">
        <v>29</v>
      </c>
      <c r="B6" s="7" t="s">
        <v>30</v>
      </c>
      <c r="C6" s="153">
        <f t="shared" ref="C6:M6" si="2">SUM(C7:C17)</f>
        <v>0</v>
      </c>
      <c r="D6" s="153">
        <f t="shared" si="2"/>
        <v>8626567636</v>
      </c>
      <c r="E6" s="153">
        <f t="shared" si="2"/>
        <v>8885364665.0799999</v>
      </c>
      <c r="F6" s="153">
        <f t="shared" si="2"/>
        <v>9151925605.032402</v>
      </c>
      <c r="G6" s="153">
        <f t="shared" si="2"/>
        <v>9426483373.1833725</v>
      </c>
      <c r="H6" s="153">
        <f t="shared" si="2"/>
        <v>9709277874.3788757</v>
      </c>
      <c r="I6" s="153">
        <f t="shared" si="2"/>
        <v>10000556210.610241</v>
      </c>
      <c r="J6" s="153">
        <f t="shared" si="2"/>
        <v>10300572896.928547</v>
      </c>
      <c r="K6" s="153">
        <f t="shared" si="2"/>
        <v>10609590083.836403</v>
      </c>
      <c r="L6" s="153">
        <f t="shared" si="2"/>
        <v>10927877786.351496</v>
      </c>
      <c r="M6" s="153">
        <f t="shared" si="2"/>
        <v>11255714119.942043</v>
      </c>
    </row>
    <row r="7" spans="1:13" hidden="1">
      <c r="A7" s="10" t="s">
        <v>31</v>
      </c>
      <c r="B7" s="11" t="s">
        <v>32</v>
      </c>
      <c r="C7" s="151"/>
      <c r="D7" s="151">
        <v>688171964</v>
      </c>
      <c r="E7" s="151">
        <f>SUM(D7*$E$2)</f>
        <v>708817122.92000008</v>
      </c>
      <c r="F7" s="151">
        <f>SUM(E7*$F$2)</f>
        <v>730081636.60760009</v>
      </c>
      <c r="G7" s="151">
        <f>SUM(F7*$G$2)</f>
        <v>751984085.70582807</v>
      </c>
      <c r="H7" s="151">
        <f>SUM(G7*$H$2)</f>
        <v>774543608.27700293</v>
      </c>
      <c r="I7" s="151">
        <f>SUM(H7*$I$2)</f>
        <v>797779916.52531302</v>
      </c>
      <c r="J7" s="151">
        <f>SUM(I7*$J$2)</f>
        <v>821713314.02107239</v>
      </c>
      <c r="K7" s="151">
        <f>SUM(J7*$K$2)</f>
        <v>846364713.44170463</v>
      </c>
      <c r="L7" s="151">
        <f>SUM(K7*$L$2)</f>
        <v>871755654.8449558</v>
      </c>
      <c r="M7" s="151">
        <f>SUM(L7*$M$2)</f>
        <v>897908324.49030447</v>
      </c>
    </row>
    <row r="8" spans="1:13" ht="15.75" hidden="1" customHeight="1">
      <c r="A8" s="10" t="s">
        <v>33</v>
      </c>
      <c r="B8" s="11" t="s">
        <v>34</v>
      </c>
      <c r="C8" s="151"/>
      <c r="D8" s="151">
        <v>4577303907</v>
      </c>
      <c r="E8" s="151">
        <f t="shared" ref="E8:E17" si="3">SUM(D8*$E$2)</f>
        <v>4714623024.21</v>
      </c>
      <c r="F8" s="151">
        <f t="shared" ref="F8:F17" si="4">SUM(E8*$F$2)</f>
        <v>4856061714.9363003</v>
      </c>
      <c r="G8" s="151">
        <f t="shared" ref="G8:G17" si="5">SUM(F8*$G$2)</f>
        <v>5001743566.3843899</v>
      </c>
      <c r="H8" s="151">
        <f t="shared" ref="H8:H17" si="6">SUM(G8*$H$2)</f>
        <v>5151795873.3759212</v>
      </c>
      <c r="I8" s="151">
        <f t="shared" ref="I8:I17" si="7">SUM(H8*$I$2)</f>
        <v>5306349749.577199</v>
      </c>
      <c r="J8" s="151">
        <f t="shared" ref="J8:J17" si="8">SUM(I8*$J$2)</f>
        <v>5465540242.0645151</v>
      </c>
      <c r="K8" s="151">
        <f t="shared" ref="K8:K17" si="9">SUM(J8*$K$2)</f>
        <v>5629506449.3264503</v>
      </c>
      <c r="L8" s="151">
        <f t="shared" ref="L8:L17" si="10">SUM(K8*$L$2)</f>
        <v>5798391642.8062439</v>
      </c>
      <c r="M8" s="151">
        <f t="shared" ref="M8:M17" si="11">SUM(L8*$M$2)</f>
        <v>5972343392.0904312</v>
      </c>
    </row>
    <row r="9" spans="1:13" hidden="1">
      <c r="A9" s="10" t="s">
        <v>35</v>
      </c>
      <c r="B9" s="11" t="s">
        <v>36</v>
      </c>
      <c r="C9" s="151"/>
      <c r="D9" s="151"/>
      <c r="E9" s="151">
        <f t="shared" si="3"/>
        <v>0</v>
      </c>
      <c r="F9" s="151">
        <f t="shared" si="4"/>
        <v>0</v>
      </c>
      <c r="G9" s="151">
        <f t="shared" si="5"/>
        <v>0</v>
      </c>
      <c r="H9" s="151">
        <f t="shared" si="6"/>
        <v>0</v>
      </c>
      <c r="I9" s="151">
        <f t="shared" si="7"/>
        <v>0</v>
      </c>
      <c r="J9" s="151">
        <f t="shared" si="8"/>
        <v>0</v>
      </c>
      <c r="K9" s="151">
        <f t="shared" si="9"/>
        <v>0</v>
      </c>
      <c r="L9" s="151">
        <f t="shared" si="10"/>
        <v>0</v>
      </c>
      <c r="M9" s="151">
        <f t="shared" si="11"/>
        <v>0</v>
      </c>
    </row>
    <row r="10" spans="1:13" hidden="1">
      <c r="A10" s="10" t="s">
        <v>37</v>
      </c>
      <c r="B10" s="11" t="s">
        <v>38</v>
      </c>
      <c r="C10" s="151"/>
      <c r="D10" s="151"/>
      <c r="E10" s="151">
        <f t="shared" si="3"/>
        <v>0</v>
      </c>
      <c r="F10" s="151">
        <f t="shared" si="4"/>
        <v>0</v>
      </c>
      <c r="G10" s="151">
        <f t="shared" si="5"/>
        <v>0</v>
      </c>
      <c r="H10" s="151">
        <f t="shared" si="6"/>
        <v>0</v>
      </c>
      <c r="I10" s="151">
        <f t="shared" si="7"/>
        <v>0</v>
      </c>
      <c r="J10" s="151">
        <f t="shared" si="8"/>
        <v>0</v>
      </c>
      <c r="K10" s="151">
        <f t="shared" si="9"/>
        <v>0</v>
      </c>
      <c r="L10" s="151">
        <f t="shared" si="10"/>
        <v>0</v>
      </c>
      <c r="M10" s="151">
        <f t="shared" si="11"/>
        <v>0</v>
      </c>
    </row>
    <row r="11" spans="1:13" hidden="1">
      <c r="A11" s="10" t="s">
        <v>39</v>
      </c>
      <c r="B11" s="11" t="s">
        <v>40</v>
      </c>
      <c r="C11" s="151"/>
      <c r="D11" s="151"/>
      <c r="E11" s="151">
        <f t="shared" si="3"/>
        <v>0</v>
      </c>
      <c r="F11" s="151">
        <f t="shared" si="4"/>
        <v>0</v>
      </c>
      <c r="G11" s="151">
        <f t="shared" si="5"/>
        <v>0</v>
      </c>
      <c r="H11" s="151">
        <f t="shared" si="6"/>
        <v>0</v>
      </c>
      <c r="I11" s="151">
        <f t="shared" si="7"/>
        <v>0</v>
      </c>
      <c r="J11" s="151">
        <f t="shared" si="8"/>
        <v>0</v>
      </c>
      <c r="K11" s="151">
        <f t="shared" si="9"/>
        <v>0</v>
      </c>
      <c r="L11" s="151">
        <f t="shared" si="10"/>
        <v>0</v>
      </c>
      <c r="M11" s="151">
        <f t="shared" si="11"/>
        <v>0</v>
      </c>
    </row>
    <row r="12" spans="1:13" hidden="1">
      <c r="A12" s="10" t="s">
        <v>41</v>
      </c>
      <c r="B12" s="11" t="s">
        <v>42</v>
      </c>
      <c r="C12" s="151"/>
      <c r="D12" s="151"/>
      <c r="E12" s="151">
        <f t="shared" si="3"/>
        <v>0</v>
      </c>
      <c r="F12" s="151">
        <f t="shared" si="4"/>
        <v>0</v>
      </c>
      <c r="G12" s="151">
        <f t="shared" si="5"/>
        <v>0</v>
      </c>
      <c r="H12" s="151">
        <f t="shared" si="6"/>
        <v>0</v>
      </c>
      <c r="I12" s="151">
        <f t="shared" si="7"/>
        <v>0</v>
      </c>
      <c r="J12" s="151">
        <f t="shared" si="8"/>
        <v>0</v>
      </c>
      <c r="K12" s="151">
        <f t="shared" si="9"/>
        <v>0</v>
      </c>
      <c r="L12" s="151">
        <f t="shared" si="10"/>
        <v>0</v>
      </c>
      <c r="M12" s="151">
        <f t="shared" si="11"/>
        <v>0</v>
      </c>
    </row>
    <row r="13" spans="1:13" hidden="1">
      <c r="A13" s="10" t="s">
        <v>43</v>
      </c>
      <c r="B13" s="11" t="s">
        <v>44</v>
      </c>
      <c r="C13" s="151"/>
      <c r="D13" s="151">
        <v>564199000</v>
      </c>
      <c r="E13" s="151">
        <f t="shared" si="3"/>
        <v>581124970</v>
      </c>
      <c r="F13" s="151">
        <f t="shared" si="4"/>
        <v>598558719.10000002</v>
      </c>
      <c r="G13" s="151">
        <f t="shared" si="5"/>
        <v>616515480.6730001</v>
      </c>
      <c r="H13" s="151">
        <f t="shared" si="6"/>
        <v>635010945.09319007</v>
      </c>
      <c r="I13" s="151">
        <f t="shared" si="7"/>
        <v>654061273.44598579</v>
      </c>
      <c r="J13" s="151">
        <f t="shared" si="8"/>
        <v>673683111.64936543</v>
      </c>
      <c r="K13" s="151">
        <f t="shared" si="9"/>
        <v>693893604.99884641</v>
      </c>
      <c r="L13" s="151">
        <f t="shared" si="10"/>
        <v>714710413.14881182</v>
      </c>
      <c r="M13" s="151">
        <f t="shared" si="11"/>
        <v>736151725.54327619</v>
      </c>
    </row>
    <row r="14" spans="1:13" hidden="1">
      <c r="A14" s="10" t="s">
        <v>45</v>
      </c>
      <c r="B14" s="11" t="s">
        <v>46</v>
      </c>
      <c r="C14" s="151"/>
      <c r="D14" s="151">
        <v>2113010506</v>
      </c>
      <c r="E14" s="151">
        <f t="shared" si="3"/>
        <v>2176400821.1799998</v>
      </c>
      <c r="F14" s="151">
        <f t="shared" si="4"/>
        <v>2241692845.8153996</v>
      </c>
      <c r="G14" s="151">
        <f t="shared" si="5"/>
        <v>2308943631.1898618</v>
      </c>
      <c r="H14" s="151">
        <f t="shared" si="6"/>
        <v>2378211940.1255579</v>
      </c>
      <c r="I14" s="151">
        <f t="shared" si="7"/>
        <v>2449558298.3293247</v>
      </c>
      <c r="J14" s="151">
        <f t="shared" si="8"/>
        <v>2523045047.2792044</v>
      </c>
      <c r="K14" s="151">
        <f t="shared" si="9"/>
        <v>2598736398.6975803</v>
      </c>
      <c r="L14" s="151">
        <f t="shared" si="10"/>
        <v>2676698490.6585078</v>
      </c>
      <c r="M14" s="151">
        <f t="shared" si="11"/>
        <v>2756999445.378263</v>
      </c>
    </row>
    <row r="15" spans="1:13" hidden="1">
      <c r="A15" s="10" t="s">
        <v>47</v>
      </c>
      <c r="B15" s="11" t="s">
        <v>48</v>
      </c>
      <c r="C15" s="151"/>
      <c r="D15" s="151">
        <v>467058790</v>
      </c>
      <c r="E15" s="151">
        <f t="shared" si="3"/>
        <v>481070553.69999999</v>
      </c>
      <c r="F15" s="151">
        <f t="shared" si="4"/>
        <v>495502670.31099999</v>
      </c>
      <c r="G15" s="151">
        <f t="shared" si="5"/>
        <v>510367750.42032999</v>
      </c>
      <c r="H15" s="151">
        <f t="shared" si="6"/>
        <v>525678782.93293989</v>
      </c>
      <c r="I15" s="151">
        <f t="shared" si="7"/>
        <v>541449146.42092812</v>
      </c>
      <c r="J15" s="151">
        <f t="shared" si="8"/>
        <v>557692620.81355596</v>
      </c>
      <c r="K15" s="151">
        <f t="shared" si="9"/>
        <v>574423399.43796265</v>
      </c>
      <c r="L15" s="151">
        <f t="shared" si="10"/>
        <v>591656101.42110157</v>
      </c>
      <c r="M15" s="151">
        <f t="shared" si="11"/>
        <v>609405784.46373463</v>
      </c>
    </row>
    <row r="16" spans="1:13" hidden="1">
      <c r="A16" s="10" t="s">
        <v>49</v>
      </c>
      <c r="B16" s="11" t="s">
        <v>50</v>
      </c>
      <c r="C16" s="151"/>
      <c r="D16" s="151"/>
      <c r="E16" s="151">
        <f t="shared" si="3"/>
        <v>0</v>
      </c>
      <c r="F16" s="151">
        <f t="shared" si="4"/>
        <v>0</v>
      </c>
      <c r="G16" s="151">
        <f t="shared" si="5"/>
        <v>0</v>
      </c>
      <c r="H16" s="151">
        <f t="shared" si="6"/>
        <v>0</v>
      </c>
      <c r="I16" s="151">
        <f t="shared" si="7"/>
        <v>0</v>
      </c>
      <c r="J16" s="151">
        <f t="shared" si="8"/>
        <v>0</v>
      </c>
      <c r="K16" s="151">
        <f t="shared" si="9"/>
        <v>0</v>
      </c>
      <c r="L16" s="151">
        <f t="shared" si="10"/>
        <v>0</v>
      </c>
      <c r="M16" s="151">
        <f t="shared" si="11"/>
        <v>0</v>
      </c>
    </row>
    <row r="17" spans="1:13" hidden="1">
      <c r="A17" s="10" t="s">
        <v>51</v>
      </c>
      <c r="B17" s="11" t="s">
        <v>52</v>
      </c>
      <c r="C17" s="151"/>
      <c r="D17" s="151">
        <v>216823469</v>
      </c>
      <c r="E17" s="151">
        <f t="shared" si="3"/>
        <v>223328173.06999999</v>
      </c>
      <c r="F17" s="151">
        <f t="shared" si="4"/>
        <v>230028018.26210001</v>
      </c>
      <c r="G17" s="151">
        <f t="shared" si="5"/>
        <v>236928858.80996302</v>
      </c>
      <c r="H17" s="151">
        <f t="shared" si="6"/>
        <v>244036724.5742619</v>
      </c>
      <c r="I17" s="151">
        <f t="shared" si="7"/>
        <v>251357826.31148976</v>
      </c>
      <c r="J17" s="151">
        <f t="shared" si="8"/>
        <v>258898561.10083446</v>
      </c>
      <c r="K17" s="151">
        <f t="shared" si="9"/>
        <v>266665517.9338595</v>
      </c>
      <c r="L17" s="151">
        <f t="shared" si="10"/>
        <v>274665483.47187531</v>
      </c>
      <c r="M17" s="151">
        <f t="shared" si="11"/>
        <v>282905447.9760316</v>
      </c>
    </row>
    <row r="18" spans="1:13">
      <c r="A18" s="6" t="s">
        <v>53</v>
      </c>
      <c r="B18" s="7" t="s">
        <v>54</v>
      </c>
      <c r="C18" s="153">
        <f t="shared" ref="C18" si="12">SUM(C19:C20)</f>
        <v>0</v>
      </c>
      <c r="D18" s="153">
        <f t="shared" ref="D18:M18" si="13">SUM(D19:D20)</f>
        <v>1104185243</v>
      </c>
      <c r="E18" s="153">
        <f t="shared" si="13"/>
        <v>1137310800.29</v>
      </c>
      <c r="F18" s="153">
        <f t="shared" si="13"/>
        <v>1171430124.2987001</v>
      </c>
      <c r="G18" s="153">
        <f t="shared" si="13"/>
        <v>1206573028.0276611</v>
      </c>
      <c r="H18" s="153">
        <f t="shared" si="13"/>
        <v>1242770218.8684909</v>
      </c>
      <c r="I18" s="153">
        <f t="shared" si="13"/>
        <v>1280053325.4345458</v>
      </c>
      <c r="J18" s="153">
        <f t="shared" si="13"/>
        <v>1318454925.1975822</v>
      </c>
      <c r="K18" s="153">
        <f t="shared" si="13"/>
        <v>1358008572.9535098</v>
      </c>
      <c r="L18" s="153">
        <f t="shared" si="13"/>
        <v>1398748830.1421151</v>
      </c>
      <c r="M18" s="153">
        <f t="shared" si="13"/>
        <v>1440711295.0463786</v>
      </c>
    </row>
    <row r="19" spans="1:13" hidden="1">
      <c r="A19" s="10" t="s">
        <v>55</v>
      </c>
      <c r="B19" s="11" t="s">
        <v>56</v>
      </c>
      <c r="C19" s="151"/>
      <c r="D19" s="151">
        <v>0</v>
      </c>
      <c r="E19" s="151">
        <f t="shared" ref="E19:M19" si="14">SUM(D19*E2)</f>
        <v>0</v>
      </c>
      <c r="F19" s="151">
        <f t="shared" si="14"/>
        <v>0</v>
      </c>
      <c r="G19" s="151">
        <f t="shared" si="14"/>
        <v>0</v>
      </c>
      <c r="H19" s="151">
        <f t="shared" si="14"/>
        <v>0</v>
      </c>
      <c r="I19" s="151">
        <f t="shared" si="14"/>
        <v>0</v>
      </c>
      <c r="J19" s="151">
        <f t="shared" si="14"/>
        <v>0</v>
      </c>
      <c r="K19" s="151">
        <f t="shared" si="14"/>
        <v>0</v>
      </c>
      <c r="L19" s="151">
        <f t="shared" si="14"/>
        <v>0</v>
      </c>
      <c r="M19" s="151">
        <f t="shared" si="14"/>
        <v>0</v>
      </c>
    </row>
    <row r="20" spans="1:13" hidden="1">
      <c r="A20" s="10" t="s">
        <v>57</v>
      </c>
      <c r="B20" s="11" t="s">
        <v>58</v>
      </c>
      <c r="C20" s="151"/>
      <c r="D20" s="151">
        <v>1104185243</v>
      </c>
      <c r="E20" s="151">
        <f t="shared" ref="E20:M20" si="15">SUM(D20*E2)</f>
        <v>1137310800.29</v>
      </c>
      <c r="F20" s="151">
        <f t="shared" si="15"/>
        <v>1171430124.2987001</v>
      </c>
      <c r="G20" s="151">
        <f t="shared" si="15"/>
        <v>1206573028.0276611</v>
      </c>
      <c r="H20" s="151">
        <f t="shared" si="15"/>
        <v>1242770218.8684909</v>
      </c>
      <c r="I20" s="151">
        <f t="shared" si="15"/>
        <v>1280053325.4345458</v>
      </c>
      <c r="J20" s="151">
        <f t="shared" si="15"/>
        <v>1318454925.1975822</v>
      </c>
      <c r="K20" s="151">
        <f t="shared" si="15"/>
        <v>1358008572.9535098</v>
      </c>
      <c r="L20" s="151">
        <f t="shared" si="15"/>
        <v>1398748830.1421151</v>
      </c>
      <c r="M20" s="151">
        <f t="shared" si="15"/>
        <v>1440711295.0463786</v>
      </c>
    </row>
    <row r="21" spans="1:13">
      <c r="A21" s="6" t="s">
        <v>59</v>
      </c>
      <c r="B21" s="7" t="s">
        <v>60</v>
      </c>
      <c r="C21" s="153">
        <f t="shared" ref="C21:M21" si="16">C22+C30</f>
        <v>0</v>
      </c>
      <c r="D21" s="153">
        <f t="shared" si="16"/>
        <v>39158713282.849998</v>
      </c>
      <c r="E21" s="153">
        <f t="shared" si="16"/>
        <v>40333474681.335495</v>
      </c>
      <c r="F21" s="153">
        <f t="shared" si="16"/>
        <v>41543478921.775566</v>
      </c>
      <c r="G21" s="153">
        <f t="shared" si="16"/>
        <v>42789783289.428841</v>
      </c>
      <c r="H21" s="153">
        <f t="shared" si="16"/>
        <v>44073476788.111702</v>
      </c>
      <c r="I21" s="153">
        <f t="shared" si="16"/>
        <v>45395681091.755058</v>
      </c>
      <c r="J21" s="153">
        <f t="shared" si="16"/>
        <v>46757551524.507706</v>
      </c>
      <c r="K21" s="153">
        <f t="shared" si="16"/>
        <v>48160278070.242943</v>
      </c>
      <c r="L21" s="153">
        <f t="shared" si="16"/>
        <v>49605086412.350227</v>
      </c>
      <c r="M21" s="153">
        <f t="shared" si="16"/>
        <v>51093239004.720741</v>
      </c>
    </row>
    <row r="22" spans="1:13" hidden="1">
      <c r="A22" s="10" t="s">
        <v>61</v>
      </c>
      <c r="B22" s="11" t="s">
        <v>62</v>
      </c>
      <c r="C22" s="151">
        <f>SUM(C23)</f>
        <v>0</v>
      </c>
      <c r="D22" s="151">
        <f t="shared" ref="D22:M22" si="17">SUM(D23)</f>
        <v>1556426571</v>
      </c>
      <c r="E22" s="151">
        <f t="shared" si="17"/>
        <v>1603119368.1300001</v>
      </c>
      <c r="F22" s="151">
        <f t="shared" si="17"/>
        <v>1651212949.1739001</v>
      </c>
      <c r="G22" s="151">
        <f t="shared" si="17"/>
        <v>1700749337.6491172</v>
      </c>
      <c r="H22" s="151">
        <f t="shared" si="17"/>
        <v>1751771817.7785907</v>
      </c>
      <c r="I22" s="151">
        <f t="shared" si="17"/>
        <v>1804324972.3119485</v>
      </c>
      <c r="J22" s="151">
        <f t="shared" si="17"/>
        <v>1858454721.481307</v>
      </c>
      <c r="K22" s="151">
        <f t="shared" si="17"/>
        <v>1914208363.1257463</v>
      </c>
      <c r="L22" s="151">
        <f t="shared" si="17"/>
        <v>1971634614.0195186</v>
      </c>
      <c r="M22" s="151">
        <f t="shared" si="17"/>
        <v>2030783652.4401042</v>
      </c>
    </row>
    <row r="23" spans="1:13" hidden="1">
      <c r="A23" s="10" t="s">
        <v>63</v>
      </c>
      <c r="B23" s="11" t="s">
        <v>64</v>
      </c>
      <c r="C23" s="151">
        <f>SUM(C24:C25)</f>
        <v>0</v>
      </c>
      <c r="D23" s="151">
        <f t="shared" ref="D23:M23" si="18">SUM(D24:D25)</f>
        <v>1556426571</v>
      </c>
      <c r="E23" s="151">
        <f t="shared" si="18"/>
        <v>1603119368.1300001</v>
      </c>
      <c r="F23" s="151">
        <f t="shared" si="18"/>
        <v>1651212949.1739001</v>
      </c>
      <c r="G23" s="151">
        <f t="shared" si="18"/>
        <v>1700749337.6491172</v>
      </c>
      <c r="H23" s="151">
        <f t="shared" si="18"/>
        <v>1751771817.7785907</v>
      </c>
      <c r="I23" s="151">
        <f t="shared" si="18"/>
        <v>1804324972.3119485</v>
      </c>
      <c r="J23" s="151">
        <f t="shared" si="18"/>
        <v>1858454721.481307</v>
      </c>
      <c r="K23" s="151">
        <f t="shared" si="18"/>
        <v>1914208363.1257463</v>
      </c>
      <c r="L23" s="151">
        <f t="shared" si="18"/>
        <v>1971634614.0195186</v>
      </c>
      <c r="M23" s="151">
        <f t="shared" si="18"/>
        <v>2030783652.4401042</v>
      </c>
    </row>
    <row r="24" spans="1:13" ht="16.5" hidden="1" customHeight="1">
      <c r="A24" s="10" t="s">
        <v>65</v>
      </c>
      <c r="B24" s="11" t="s">
        <v>479</v>
      </c>
      <c r="C24" s="151"/>
      <c r="D24" s="151">
        <v>1556426571</v>
      </c>
      <c r="E24" s="151">
        <f t="shared" ref="E24:M24" si="19">SUM(D24*E2)</f>
        <v>1603119368.1300001</v>
      </c>
      <c r="F24" s="151">
        <f t="shared" si="19"/>
        <v>1651212949.1739001</v>
      </c>
      <c r="G24" s="151">
        <f t="shared" si="19"/>
        <v>1700749337.6491172</v>
      </c>
      <c r="H24" s="151">
        <f t="shared" si="19"/>
        <v>1751771817.7785907</v>
      </c>
      <c r="I24" s="151">
        <f t="shared" si="19"/>
        <v>1804324972.3119485</v>
      </c>
      <c r="J24" s="151">
        <f t="shared" si="19"/>
        <v>1858454721.481307</v>
      </c>
      <c r="K24" s="151">
        <f t="shared" si="19"/>
        <v>1914208363.1257463</v>
      </c>
      <c r="L24" s="151">
        <f t="shared" si="19"/>
        <v>1971634614.0195186</v>
      </c>
      <c r="M24" s="151">
        <f t="shared" si="19"/>
        <v>2030783652.4401042</v>
      </c>
    </row>
    <row r="25" spans="1:13" hidden="1">
      <c r="A25" s="10" t="s">
        <v>66</v>
      </c>
      <c r="B25" s="11" t="s">
        <v>67</v>
      </c>
      <c r="C25" s="151"/>
      <c r="D25" s="151"/>
      <c r="E25" s="151"/>
      <c r="F25" s="151"/>
      <c r="G25" s="151"/>
      <c r="H25" s="151"/>
      <c r="I25" s="151"/>
      <c r="J25" s="151"/>
      <c r="K25" s="151"/>
      <c r="L25" s="151"/>
      <c r="M25" s="151"/>
    </row>
    <row r="26" spans="1:13" hidden="1">
      <c r="A26" s="6" t="s">
        <v>68</v>
      </c>
      <c r="B26" s="7" t="s">
        <v>69</v>
      </c>
      <c r="C26" s="153">
        <f t="shared" ref="C26" si="20">SUM(C27:C28)</f>
        <v>0</v>
      </c>
      <c r="D26" s="153">
        <f t="shared" ref="D26:M26" si="21">SUM(D27:D28)</f>
        <v>0</v>
      </c>
      <c r="E26" s="153">
        <f t="shared" si="21"/>
        <v>0</v>
      </c>
      <c r="F26" s="153">
        <f t="shared" si="21"/>
        <v>0</v>
      </c>
      <c r="G26" s="153">
        <f t="shared" si="21"/>
        <v>0</v>
      </c>
      <c r="H26" s="153">
        <f t="shared" si="21"/>
        <v>0</v>
      </c>
      <c r="I26" s="153">
        <f t="shared" si="21"/>
        <v>0</v>
      </c>
      <c r="J26" s="153">
        <f t="shared" si="21"/>
        <v>0</v>
      </c>
      <c r="K26" s="153">
        <f t="shared" si="21"/>
        <v>0</v>
      </c>
      <c r="L26" s="153">
        <f t="shared" si="21"/>
        <v>0</v>
      </c>
      <c r="M26" s="153">
        <f t="shared" si="21"/>
        <v>0</v>
      </c>
    </row>
    <row r="27" spans="1:13" hidden="1">
      <c r="A27" s="10" t="s">
        <v>70</v>
      </c>
      <c r="B27" s="11" t="s">
        <v>71</v>
      </c>
      <c r="C27" s="151"/>
      <c r="D27" s="151"/>
      <c r="E27" s="151"/>
      <c r="F27" s="151"/>
      <c r="G27" s="151"/>
      <c r="H27" s="151"/>
      <c r="I27" s="151"/>
      <c r="J27" s="151"/>
      <c r="K27" s="151"/>
      <c r="L27" s="151"/>
      <c r="M27" s="151"/>
    </row>
    <row r="28" spans="1:13" hidden="1">
      <c r="A28" s="10" t="s">
        <v>72</v>
      </c>
      <c r="B28" s="11" t="s">
        <v>73</v>
      </c>
      <c r="C28" s="151"/>
      <c r="D28" s="151"/>
      <c r="E28" s="151"/>
      <c r="F28" s="151"/>
      <c r="G28" s="151"/>
      <c r="H28" s="151"/>
      <c r="I28" s="151"/>
      <c r="J28" s="151"/>
      <c r="K28" s="151"/>
      <c r="L28" s="151"/>
      <c r="M28" s="151"/>
    </row>
    <row r="29" spans="1:13" hidden="1">
      <c r="A29" s="10" t="s">
        <v>74</v>
      </c>
      <c r="B29" s="11" t="s">
        <v>75</v>
      </c>
      <c r="C29" s="151"/>
      <c r="D29" s="151"/>
      <c r="E29" s="151"/>
      <c r="F29" s="151"/>
      <c r="G29" s="151"/>
      <c r="H29" s="151"/>
      <c r="I29" s="151"/>
      <c r="J29" s="151"/>
      <c r="K29" s="151"/>
      <c r="L29" s="151"/>
      <c r="M29" s="151"/>
    </row>
    <row r="30" spans="1:13">
      <c r="A30" s="6" t="s">
        <v>76</v>
      </c>
      <c r="B30" s="7" t="s">
        <v>77</v>
      </c>
      <c r="C30" s="153">
        <f t="shared" ref="C30:M30" si="22">C31+C40+C41</f>
        <v>0</v>
      </c>
      <c r="D30" s="153">
        <f t="shared" si="22"/>
        <v>37602286711.849998</v>
      </c>
      <c r="E30" s="153">
        <f t="shared" si="22"/>
        <v>38730355313.205498</v>
      </c>
      <c r="F30" s="153">
        <f t="shared" si="22"/>
        <v>39892265972.601669</v>
      </c>
      <c r="G30" s="153">
        <f t="shared" si="22"/>
        <v>41089033951.779724</v>
      </c>
      <c r="H30" s="153">
        <f t="shared" si="22"/>
        <v>42321704970.333115</v>
      </c>
      <c r="I30" s="153">
        <f t="shared" si="22"/>
        <v>43591356119.443108</v>
      </c>
      <c r="J30" s="153">
        <f t="shared" si="22"/>
        <v>44899096803.026398</v>
      </c>
      <c r="K30" s="153">
        <f t="shared" si="22"/>
        <v>46246069707.117195</v>
      </c>
      <c r="L30" s="153">
        <f t="shared" si="22"/>
        <v>47633451798.330711</v>
      </c>
      <c r="M30" s="153">
        <f t="shared" si="22"/>
        <v>49062455352.28064</v>
      </c>
    </row>
    <row r="31" spans="1:13">
      <c r="A31" s="6" t="s">
        <v>78</v>
      </c>
      <c r="B31" s="7" t="s">
        <v>64</v>
      </c>
      <c r="C31" s="153">
        <f t="shared" ref="C31:M31" si="23">C32+C38+C39</f>
        <v>0</v>
      </c>
      <c r="D31" s="153">
        <f t="shared" si="23"/>
        <v>37602286711.849998</v>
      </c>
      <c r="E31" s="153">
        <f t="shared" si="23"/>
        <v>38730355313.205498</v>
      </c>
      <c r="F31" s="153">
        <f t="shared" si="23"/>
        <v>39892265972.601669</v>
      </c>
      <c r="G31" s="153">
        <f t="shared" si="23"/>
        <v>41089033951.779724</v>
      </c>
      <c r="H31" s="153">
        <f t="shared" si="23"/>
        <v>42321704970.333115</v>
      </c>
      <c r="I31" s="153">
        <f t="shared" si="23"/>
        <v>43591356119.443108</v>
      </c>
      <c r="J31" s="153">
        <f t="shared" si="23"/>
        <v>44899096803.026398</v>
      </c>
      <c r="K31" s="153">
        <f t="shared" si="23"/>
        <v>46246069707.117195</v>
      </c>
      <c r="L31" s="153">
        <f t="shared" si="23"/>
        <v>47633451798.330711</v>
      </c>
      <c r="M31" s="153">
        <f t="shared" si="23"/>
        <v>49062455352.28064</v>
      </c>
    </row>
    <row r="32" spans="1:13">
      <c r="A32" s="6" t="s">
        <v>79</v>
      </c>
      <c r="B32" s="7" t="s">
        <v>80</v>
      </c>
      <c r="C32" s="153">
        <f t="shared" ref="C32" si="24">SUM(C33:C37)</f>
        <v>0</v>
      </c>
      <c r="D32" s="153">
        <f t="shared" ref="D32:M32" si="25">SUM(D33:D37)</f>
        <v>21241421802</v>
      </c>
      <c r="E32" s="153">
        <f t="shared" si="25"/>
        <v>21878664456.059998</v>
      </c>
      <c r="F32" s="153">
        <f t="shared" si="25"/>
        <v>22535024389.741798</v>
      </c>
      <c r="G32" s="153">
        <f t="shared" si="25"/>
        <v>23211075121.434055</v>
      </c>
      <c r="H32" s="153">
        <f t="shared" si="25"/>
        <v>23907407375.07708</v>
      </c>
      <c r="I32" s="153">
        <f t="shared" si="25"/>
        <v>24624629596.329391</v>
      </c>
      <c r="J32" s="153">
        <f t="shared" si="25"/>
        <v>25363368484.219273</v>
      </c>
      <c r="K32" s="153">
        <f t="shared" si="25"/>
        <v>26124269538.745853</v>
      </c>
      <c r="L32" s="153">
        <f t="shared" si="25"/>
        <v>26907997624.90823</v>
      </c>
      <c r="M32" s="153">
        <f t="shared" si="25"/>
        <v>27715237553.655479</v>
      </c>
    </row>
    <row r="33" spans="1:13" hidden="1">
      <c r="A33" s="10" t="s">
        <v>81</v>
      </c>
      <c r="B33" s="11" t="s">
        <v>82</v>
      </c>
      <c r="C33" s="151"/>
      <c r="D33" s="151">
        <v>2183406443</v>
      </c>
      <c r="E33" s="151">
        <f>SUM(D33*$E$2)</f>
        <v>2248908636.29</v>
      </c>
      <c r="F33" s="151">
        <f>SUM(E33*$F$2)</f>
        <v>2316375895.3787003</v>
      </c>
      <c r="G33" s="151">
        <f>SUM(F33*$G$2)</f>
        <v>2385867172.2400613</v>
      </c>
      <c r="H33" s="151">
        <f>SUM(G33*$H$2)</f>
        <v>2457443187.4072633</v>
      </c>
      <c r="I33" s="151">
        <f>SUM(H33*$I$2)</f>
        <v>2531166483.0294814</v>
      </c>
      <c r="J33" s="151">
        <f>SUM(I33*$J$2)</f>
        <v>2607101477.5203657</v>
      </c>
      <c r="K33" s="151">
        <f>SUM(J33*$K$2)</f>
        <v>2685314521.8459768</v>
      </c>
      <c r="L33" s="151">
        <f>SUM(K33*$L$2)</f>
        <v>2765873957.5013561</v>
      </c>
      <c r="M33" s="151">
        <f>SUM(L33*$M$2)</f>
        <v>2848850176.226397</v>
      </c>
    </row>
    <row r="34" spans="1:13" hidden="1">
      <c r="A34" s="10" t="s">
        <v>83</v>
      </c>
      <c r="B34" s="11" t="s">
        <v>84</v>
      </c>
      <c r="C34" s="151"/>
      <c r="D34" s="151">
        <v>14953327364</v>
      </c>
      <c r="E34" s="151">
        <f t="shared" ref="E34:E38" si="26">SUM(D34*$E$2)</f>
        <v>15401927184.92</v>
      </c>
      <c r="F34" s="151">
        <f t="shared" ref="F34:F41" si="27">SUM(E34*$F$2)</f>
        <v>15863985000.4676</v>
      </c>
      <c r="G34" s="151">
        <f t="shared" ref="G34:G38" si="28">SUM(F34*$G$2)</f>
        <v>16339904550.481628</v>
      </c>
      <c r="H34" s="151">
        <f t="shared" ref="H34:H38" si="29">SUM(G34*$H$2)</f>
        <v>16830101686.996078</v>
      </c>
      <c r="I34" s="151">
        <f t="shared" ref="I34:I38" si="30">SUM(H34*$I$2)</f>
        <v>17335004737.605961</v>
      </c>
      <c r="J34" s="151">
        <f t="shared" ref="J34:J38" si="31">SUM(I34*$J$2)</f>
        <v>17855054879.734138</v>
      </c>
      <c r="K34" s="151">
        <f t="shared" ref="K34:K38" si="32">SUM(J34*$K$2)</f>
        <v>18390706526.126163</v>
      </c>
      <c r="L34" s="151">
        <f t="shared" ref="L34:L38" si="33">SUM(K34*$L$2)</f>
        <v>18942427721.90995</v>
      </c>
      <c r="M34" s="151">
        <f t="shared" ref="M34:M38" si="34">SUM(L34*$M$2)</f>
        <v>19510700553.567249</v>
      </c>
    </row>
    <row r="35" spans="1:13" ht="26.25" hidden="1">
      <c r="A35" s="10" t="s">
        <v>85</v>
      </c>
      <c r="B35" s="11" t="s">
        <v>86</v>
      </c>
      <c r="C35" s="151"/>
      <c r="D35" s="151">
        <v>1674939835</v>
      </c>
      <c r="E35" s="151">
        <f t="shared" si="26"/>
        <v>1725188030.05</v>
      </c>
      <c r="F35" s="151">
        <f t="shared" si="27"/>
        <v>1776943670.9514999</v>
      </c>
      <c r="G35" s="151">
        <f t="shared" si="28"/>
        <v>1830251981.080045</v>
      </c>
      <c r="H35" s="151">
        <f t="shared" si="29"/>
        <v>1885159540.5124464</v>
      </c>
      <c r="I35" s="151">
        <f t="shared" si="30"/>
        <v>1941714326.7278199</v>
      </c>
      <c r="J35" s="151">
        <f t="shared" si="31"/>
        <v>1999965756.5296545</v>
      </c>
      <c r="K35" s="151">
        <f t="shared" si="32"/>
        <v>2059964729.2255442</v>
      </c>
      <c r="L35" s="151">
        <f t="shared" si="33"/>
        <v>2121763671.1023107</v>
      </c>
      <c r="M35" s="151">
        <f t="shared" si="34"/>
        <v>2185416581.2353802</v>
      </c>
    </row>
    <row r="36" spans="1:13" ht="26.25" hidden="1">
      <c r="A36" s="10" t="s">
        <v>87</v>
      </c>
      <c r="B36" s="11" t="s">
        <v>88</v>
      </c>
      <c r="C36" s="151"/>
      <c r="D36" s="151">
        <v>1944387923</v>
      </c>
      <c r="E36" s="151">
        <f t="shared" si="26"/>
        <v>2002719560.6900001</v>
      </c>
      <c r="F36" s="151">
        <f t="shared" si="27"/>
        <v>2062801147.5107002</v>
      </c>
      <c r="G36" s="151">
        <f t="shared" si="28"/>
        <v>2124685181.9360213</v>
      </c>
      <c r="H36" s="151">
        <f t="shared" si="29"/>
        <v>2188425737.3941021</v>
      </c>
      <c r="I36" s="151">
        <f t="shared" si="30"/>
        <v>2254078509.5159254</v>
      </c>
      <c r="J36" s="151">
        <f t="shared" si="31"/>
        <v>2321700864.801403</v>
      </c>
      <c r="K36" s="151">
        <f t="shared" si="32"/>
        <v>2391351890.7454453</v>
      </c>
      <c r="L36" s="151">
        <f t="shared" si="33"/>
        <v>2463092447.4678087</v>
      </c>
      <c r="M36" s="151">
        <f t="shared" si="34"/>
        <v>2536985220.8918428</v>
      </c>
    </row>
    <row r="37" spans="1:13" hidden="1">
      <c r="A37" s="10" t="s">
        <v>89</v>
      </c>
      <c r="B37" s="11" t="s">
        <v>90</v>
      </c>
      <c r="C37" s="151"/>
      <c r="D37" s="151">
        <v>485360237</v>
      </c>
      <c r="E37" s="151">
        <f t="shared" si="26"/>
        <v>499921044.11000001</v>
      </c>
      <c r="F37" s="151">
        <f t="shared" si="27"/>
        <v>514918675.43330002</v>
      </c>
      <c r="G37" s="151">
        <f t="shared" si="28"/>
        <v>530366235.69629902</v>
      </c>
      <c r="H37" s="151">
        <f t="shared" si="29"/>
        <v>546277222.76718795</v>
      </c>
      <c r="I37" s="151">
        <f t="shared" si="30"/>
        <v>562665539.45020366</v>
      </c>
      <c r="J37" s="151">
        <f t="shared" si="31"/>
        <v>579545505.63370979</v>
      </c>
      <c r="K37" s="151">
        <f t="shared" si="32"/>
        <v>596931870.80272114</v>
      </c>
      <c r="L37" s="151">
        <f t="shared" si="33"/>
        <v>614839826.92680275</v>
      </c>
      <c r="M37" s="151">
        <f t="shared" si="34"/>
        <v>633285021.73460686</v>
      </c>
    </row>
    <row r="38" spans="1:13" hidden="1">
      <c r="A38" s="10" t="s">
        <v>91</v>
      </c>
      <c r="B38" s="11" t="s">
        <v>92</v>
      </c>
      <c r="C38" s="151"/>
      <c r="D38" s="151">
        <v>16360864909.85</v>
      </c>
      <c r="E38" s="151">
        <f t="shared" si="26"/>
        <v>16851690857.1455</v>
      </c>
      <c r="F38" s="151">
        <f t="shared" si="27"/>
        <v>17357241582.859867</v>
      </c>
      <c r="G38" s="151">
        <f t="shared" si="28"/>
        <v>17877958830.345665</v>
      </c>
      <c r="H38" s="151">
        <f t="shared" si="29"/>
        <v>18414297595.256035</v>
      </c>
      <c r="I38" s="151">
        <f t="shared" si="30"/>
        <v>18966726523.113716</v>
      </c>
      <c r="J38" s="151">
        <f t="shared" si="31"/>
        <v>19535728318.807129</v>
      </c>
      <c r="K38" s="151">
        <f t="shared" si="32"/>
        <v>20121800168.371342</v>
      </c>
      <c r="L38" s="151">
        <f t="shared" si="33"/>
        <v>20725454173.422482</v>
      </c>
      <c r="M38" s="151">
        <f t="shared" si="34"/>
        <v>21347217798.625156</v>
      </c>
    </row>
    <row r="39" spans="1:13" hidden="1">
      <c r="A39" s="10" t="s">
        <v>93</v>
      </c>
      <c r="B39" s="11" t="s">
        <v>94</v>
      </c>
      <c r="C39" s="151"/>
      <c r="D39" s="151"/>
      <c r="E39" s="151"/>
      <c r="F39" s="151">
        <f t="shared" si="27"/>
        <v>0</v>
      </c>
      <c r="G39" s="151"/>
      <c r="H39" s="151"/>
      <c r="I39" s="151"/>
      <c r="J39" s="151"/>
      <c r="K39" s="151"/>
      <c r="L39" s="151"/>
      <c r="M39" s="151"/>
    </row>
    <row r="40" spans="1:13" hidden="1">
      <c r="A40" s="10" t="s">
        <v>95</v>
      </c>
      <c r="B40" s="12" t="s">
        <v>96</v>
      </c>
      <c r="C40" s="151"/>
      <c r="D40" s="151"/>
      <c r="E40" s="151"/>
      <c r="F40" s="151">
        <f t="shared" si="27"/>
        <v>0</v>
      </c>
      <c r="G40" s="151"/>
      <c r="H40" s="151"/>
      <c r="I40" s="151"/>
      <c r="J40" s="151"/>
      <c r="K40" s="151"/>
      <c r="L40" s="151"/>
      <c r="M40" s="151"/>
    </row>
    <row r="41" spans="1:13" hidden="1">
      <c r="A41" s="10" t="s">
        <v>97</v>
      </c>
      <c r="B41" s="12" t="s">
        <v>98</v>
      </c>
      <c r="C41" s="151"/>
      <c r="D41" s="151"/>
      <c r="E41" s="151"/>
      <c r="F41" s="151">
        <f t="shared" si="27"/>
        <v>0</v>
      </c>
      <c r="G41" s="151"/>
      <c r="H41" s="151"/>
      <c r="I41" s="151"/>
      <c r="J41" s="151"/>
      <c r="K41" s="151"/>
      <c r="L41" s="151"/>
      <c r="M41" s="151"/>
    </row>
    <row r="42" spans="1:13">
      <c r="A42" s="4" t="s">
        <v>99</v>
      </c>
      <c r="B42" s="5" t="s">
        <v>100</v>
      </c>
      <c r="C42" s="154">
        <f t="shared" ref="C42:M42" si="35">C43+C93</f>
        <v>0</v>
      </c>
      <c r="D42" s="154">
        <f t="shared" si="35"/>
        <v>90860824830.009521</v>
      </c>
      <c r="E42" s="154">
        <f t="shared" si="35"/>
        <v>73957194199.362061</v>
      </c>
      <c r="F42" s="154">
        <f t="shared" si="35"/>
        <v>76175910024.72847</v>
      </c>
      <c r="G42" s="154">
        <f t="shared" si="35"/>
        <v>78461187325.470337</v>
      </c>
      <c r="H42" s="154">
        <f t="shared" si="35"/>
        <v>80815022945.234436</v>
      </c>
      <c r="I42" s="154">
        <f t="shared" si="35"/>
        <v>83239473633.591461</v>
      </c>
      <c r="J42" s="154">
        <f t="shared" si="35"/>
        <v>85736657842.599213</v>
      </c>
      <c r="K42" s="154">
        <f t="shared" si="35"/>
        <v>88308757577.877197</v>
      </c>
      <c r="L42" s="154">
        <f t="shared" si="35"/>
        <v>90958020305.213531</v>
      </c>
      <c r="M42" s="154">
        <f t="shared" si="35"/>
        <v>93686760914.369934</v>
      </c>
    </row>
    <row r="43" spans="1:13">
      <c r="A43" s="6" t="s">
        <v>101</v>
      </c>
      <c r="B43" s="7" t="s">
        <v>102</v>
      </c>
      <c r="C43" s="153">
        <f t="shared" ref="C43:M43" si="36">C44+C59+C62+C63+C76</f>
        <v>0</v>
      </c>
      <c r="D43" s="153">
        <f t="shared" si="36"/>
        <v>40464115416.099998</v>
      </c>
      <c r="E43" s="153">
        <f t="shared" si="36"/>
        <v>41924526986.892998</v>
      </c>
      <c r="F43" s="153">
        <f t="shared" si="36"/>
        <v>43184475026.502586</v>
      </c>
      <c r="G43" s="153">
        <f t="shared" si="36"/>
        <v>44475309568.369789</v>
      </c>
      <c r="H43" s="153">
        <f t="shared" si="36"/>
        <v>45819171157.330673</v>
      </c>
      <c r="I43" s="153">
        <f t="shared" si="36"/>
        <v>47196234285.402786</v>
      </c>
      <c r="J43" s="153">
        <f t="shared" si="36"/>
        <v>48614708828.762749</v>
      </c>
      <c r="K43" s="153">
        <f t="shared" si="36"/>
        <v>50075841107.79982</v>
      </c>
      <c r="L43" s="153">
        <f t="shared" si="36"/>
        <v>51580915796.156578</v>
      </c>
      <c r="M43" s="153">
        <f t="shared" si="36"/>
        <v>53131253871.285744</v>
      </c>
    </row>
    <row r="44" spans="1:13">
      <c r="A44" s="6" t="s">
        <v>103</v>
      </c>
      <c r="B44" s="7" t="s">
        <v>104</v>
      </c>
      <c r="C44" s="153">
        <f t="shared" ref="C44:M44" si="37">C45+C46+C47+C55+C56+C57+C58</f>
        <v>0</v>
      </c>
      <c r="D44" s="153">
        <f t="shared" si="37"/>
        <v>5396340013</v>
      </c>
      <c r="E44" s="153">
        <f t="shared" si="37"/>
        <v>5560356961.21</v>
      </c>
      <c r="F44" s="153">
        <f t="shared" si="37"/>
        <v>5729379487.7791004</v>
      </c>
      <c r="G44" s="153">
        <f t="shared" si="37"/>
        <v>5903561162.8545856</v>
      </c>
      <c r="H44" s="153">
        <f t="shared" si="37"/>
        <v>6083060299.8000202</v>
      </c>
      <c r="I44" s="153">
        <f t="shared" si="37"/>
        <v>6268040102.9362097</v>
      </c>
      <c r="J44" s="153">
        <f t="shared" si="37"/>
        <v>6458668819.9321718</v>
      </c>
      <c r="K44" s="153">
        <f t="shared" si="37"/>
        <v>6655119898.9943275</v>
      </c>
      <c r="L44" s="153">
        <f t="shared" si="37"/>
        <v>6857572151.006917</v>
      </c>
      <c r="M44" s="153">
        <f t="shared" si="37"/>
        <v>7066209916.7815933</v>
      </c>
    </row>
    <row r="45" spans="1:13" hidden="1">
      <c r="A45" s="10" t="s">
        <v>105</v>
      </c>
      <c r="B45" s="11" t="s">
        <v>106</v>
      </c>
      <c r="C45" s="151"/>
      <c r="D45" s="151">
        <v>3034599807</v>
      </c>
      <c r="E45" s="151">
        <f>SUM(D45*E2)</f>
        <v>3125637801.21</v>
      </c>
      <c r="F45" s="151">
        <f t="shared" ref="F45:M45" si="38">SUM(E45*F2)</f>
        <v>3219406935.2463002</v>
      </c>
      <c r="G45" s="151">
        <f t="shared" si="38"/>
        <v>3315989143.3036895</v>
      </c>
      <c r="H45" s="151">
        <f t="shared" si="38"/>
        <v>3415468817.6028004</v>
      </c>
      <c r="I45" s="151">
        <f t="shared" si="38"/>
        <v>3517932882.1308846</v>
      </c>
      <c r="J45" s="151">
        <f t="shared" si="38"/>
        <v>3623470868.5948114</v>
      </c>
      <c r="K45" s="151">
        <f t="shared" si="38"/>
        <v>3732174994.6526561</v>
      </c>
      <c r="L45" s="151">
        <f t="shared" si="38"/>
        <v>3844140244.4922357</v>
      </c>
      <c r="M45" s="151">
        <f t="shared" si="38"/>
        <v>3959464451.827003</v>
      </c>
    </row>
    <row r="46" spans="1:13" hidden="1">
      <c r="A46" s="10" t="s">
        <v>107</v>
      </c>
      <c r="B46" s="11" t="s">
        <v>108</v>
      </c>
      <c r="C46" s="151"/>
      <c r="D46" s="151">
        <v>726166109</v>
      </c>
      <c r="E46" s="151">
        <f>SUM(D46*E2)</f>
        <v>747951092.26999998</v>
      </c>
      <c r="F46" s="151">
        <f t="shared" ref="F46:M46" si="39">SUM(E46*F2)</f>
        <v>770389625.0381</v>
      </c>
      <c r="G46" s="151">
        <f t="shared" si="39"/>
        <v>793501313.78924298</v>
      </c>
      <c r="H46" s="151">
        <f t="shared" si="39"/>
        <v>817306353.20292032</v>
      </c>
      <c r="I46" s="151">
        <f t="shared" si="39"/>
        <v>841825543.79900789</v>
      </c>
      <c r="J46" s="151">
        <f t="shared" si="39"/>
        <v>867080310.1129781</v>
      </c>
      <c r="K46" s="151">
        <f t="shared" si="39"/>
        <v>893092719.41636741</v>
      </c>
      <c r="L46" s="151">
        <f t="shared" si="39"/>
        <v>919885500.99885845</v>
      </c>
      <c r="M46" s="151">
        <f t="shared" si="39"/>
        <v>947482066.02882421</v>
      </c>
    </row>
    <row r="47" spans="1:13">
      <c r="A47" s="6" t="s">
        <v>109</v>
      </c>
      <c r="B47" s="7" t="s">
        <v>110</v>
      </c>
      <c r="C47" s="153">
        <f t="shared" ref="C47:D47" si="40">SUM(C48:C54)</f>
        <v>0</v>
      </c>
      <c r="D47" s="153">
        <f t="shared" si="40"/>
        <v>1635574097</v>
      </c>
      <c r="E47" s="153">
        <f t="shared" ref="E47:M47" si="41">SUM(E48:E54)</f>
        <v>1686768067.73</v>
      </c>
      <c r="F47" s="153">
        <f t="shared" si="41"/>
        <v>1739582927.4947002</v>
      </c>
      <c r="G47" s="153">
        <f t="shared" si="41"/>
        <v>1794070705.7616534</v>
      </c>
      <c r="H47" s="153">
        <f t="shared" si="41"/>
        <v>1850285128.9942994</v>
      </c>
      <c r="I47" s="153">
        <f t="shared" si="41"/>
        <v>1908281677.0063169</v>
      </c>
      <c r="J47" s="153">
        <f t="shared" si="41"/>
        <v>1968117641.2243824</v>
      </c>
      <c r="K47" s="153">
        <f t="shared" si="41"/>
        <v>2029852184.9253047</v>
      </c>
      <c r="L47" s="153">
        <f t="shared" si="41"/>
        <v>2093546405.5158226</v>
      </c>
      <c r="M47" s="153">
        <f t="shared" si="41"/>
        <v>2159263398.925766</v>
      </c>
    </row>
    <row r="48" spans="1:13" hidden="1">
      <c r="A48" s="10" t="s">
        <v>111</v>
      </c>
      <c r="B48" s="12" t="s">
        <v>112</v>
      </c>
      <c r="C48" s="151"/>
      <c r="D48" s="151">
        <v>1422899315</v>
      </c>
      <c r="E48" s="151">
        <f>SUM(D48*E2)</f>
        <v>1465586294.45</v>
      </c>
      <c r="F48" s="151">
        <f t="shared" ref="F48:M48" si="42">SUM(E48*F2)</f>
        <v>1509553883.2835002</v>
      </c>
      <c r="G48" s="151">
        <f t="shared" si="42"/>
        <v>1554840499.7820053</v>
      </c>
      <c r="H48" s="151">
        <f t="shared" si="42"/>
        <v>1601485714.7754655</v>
      </c>
      <c r="I48" s="151">
        <f t="shared" si="42"/>
        <v>1649530286.2187295</v>
      </c>
      <c r="J48" s="151">
        <f t="shared" si="42"/>
        <v>1699016194.8052914</v>
      </c>
      <c r="K48" s="151">
        <f t="shared" si="42"/>
        <v>1749986680.6494503</v>
      </c>
      <c r="L48" s="151">
        <f t="shared" si="42"/>
        <v>1802486281.068934</v>
      </c>
      <c r="M48" s="151">
        <f t="shared" si="42"/>
        <v>1856560869.5010021</v>
      </c>
    </row>
    <row r="49" spans="1:13" hidden="1">
      <c r="A49" s="10" t="s">
        <v>113</v>
      </c>
      <c r="B49" s="12" t="s">
        <v>114</v>
      </c>
      <c r="C49" s="151"/>
      <c r="D49" s="151"/>
      <c r="E49" s="151"/>
      <c r="F49" s="151"/>
      <c r="G49" s="151"/>
      <c r="H49" s="151"/>
      <c r="I49" s="151"/>
      <c r="J49" s="151"/>
      <c r="K49" s="151"/>
      <c r="L49" s="151"/>
      <c r="M49" s="151"/>
    </row>
    <row r="50" spans="1:13" hidden="1">
      <c r="A50" s="10" t="s">
        <v>115</v>
      </c>
      <c r="B50" s="12" t="s">
        <v>116</v>
      </c>
      <c r="C50" s="151"/>
      <c r="D50" s="151"/>
      <c r="E50" s="151"/>
      <c r="F50" s="151"/>
      <c r="G50" s="151"/>
      <c r="H50" s="151"/>
      <c r="I50" s="151"/>
      <c r="J50" s="151"/>
      <c r="K50" s="151"/>
      <c r="L50" s="151"/>
      <c r="M50" s="151"/>
    </row>
    <row r="51" spans="1:13" hidden="1">
      <c r="A51" s="10" t="s">
        <v>117</v>
      </c>
      <c r="B51" s="12" t="s">
        <v>118</v>
      </c>
      <c r="C51" s="151"/>
      <c r="D51" s="151">
        <v>209674782</v>
      </c>
      <c r="E51" s="151">
        <v>218061773.28</v>
      </c>
      <c r="F51" s="151">
        <v>226784244.2112</v>
      </c>
      <c r="G51" s="151">
        <v>235855613.97964799</v>
      </c>
      <c r="H51" s="151">
        <v>245289838.53883392</v>
      </c>
      <c r="I51" s="151">
        <v>255101432.08038729</v>
      </c>
      <c r="J51" s="151">
        <v>265305489.36360279</v>
      </c>
      <c r="K51" s="151">
        <v>275917708.93814689</v>
      </c>
      <c r="L51" s="151">
        <v>286954417.29567277</v>
      </c>
      <c r="M51" s="151">
        <v>298432593.98749971</v>
      </c>
    </row>
    <row r="52" spans="1:13" hidden="1">
      <c r="A52" s="10" t="s">
        <v>119</v>
      </c>
      <c r="B52" s="12" t="s">
        <v>120</v>
      </c>
      <c r="C52" s="151"/>
      <c r="D52" s="151"/>
      <c r="E52" s="151"/>
      <c r="F52" s="151"/>
      <c r="G52" s="151"/>
      <c r="H52" s="151"/>
      <c r="I52" s="151"/>
      <c r="J52" s="151"/>
      <c r="K52" s="151"/>
      <c r="L52" s="151"/>
      <c r="M52" s="151"/>
    </row>
    <row r="53" spans="1:13" hidden="1">
      <c r="A53" s="10" t="s">
        <v>121</v>
      </c>
      <c r="B53" s="12" t="s">
        <v>122</v>
      </c>
      <c r="C53" s="151"/>
      <c r="D53" s="151"/>
      <c r="E53" s="151"/>
      <c r="F53" s="151"/>
      <c r="G53" s="151"/>
      <c r="H53" s="151"/>
      <c r="I53" s="151"/>
      <c r="J53" s="151"/>
      <c r="K53" s="151"/>
      <c r="L53" s="151"/>
      <c r="M53" s="151"/>
    </row>
    <row r="54" spans="1:13" hidden="1">
      <c r="A54" s="10" t="s">
        <v>123</v>
      </c>
      <c r="B54" s="12" t="s">
        <v>124</v>
      </c>
      <c r="C54" s="151"/>
      <c r="D54" s="151">
        <v>3000000</v>
      </c>
      <c r="E54" s="151">
        <v>3120000</v>
      </c>
      <c r="F54" s="151">
        <v>3244800</v>
      </c>
      <c r="G54" s="151">
        <v>3374592</v>
      </c>
      <c r="H54" s="151">
        <v>3509575.6800000002</v>
      </c>
      <c r="I54" s="151">
        <v>3649958.7072000005</v>
      </c>
      <c r="J54" s="151">
        <v>3795957.0554880006</v>
      </c>
      <c r="K54" s="151">
        <v>3947795.3377075209</v>
      </c>
      <c r="L54" s="151">
        <v>4105707.151215822</v>
      </c>
      <c r="M54" s="151">
        <v>4269935.4372644546</v>
      </c>
    </row>
    <row r="55" spans="1:13" hidden="1">
      <c r="A55" s="10" t="s">
        <v>125</v>
      </c>
      <c r="B55" s="11" t="s">
        <v>126</v>
      </c>
      <c r="C55" s="151"/>
      <c r="D55" s="151"/>
      <c r="E55" s="151"/>
      <c r="F55" s="151"/>
      <c r="G55" s="151"/>
      <c r="H55" s="151"/>
      <c r="I55" s="151"/>
      <c r="J55" s="151"/>
      <c r="K55" s="151"/>
      <c r="L55" s="151"/>
      <c r="M55" s="151"/>
    </row>
    <row r="56" spans="1:13" hidden="1">
      <c r="A56" s="10" t="s">
        <v>127</v>
      </c>
      <c r="B56" s="11" t="s">
        <v>128</v>
      </c>
      <c r="C56" s="151"/>
      <c r="D56" s="151"/>
      <c r="E56" s="151"/>
      <c r="F56" s="151"/>
      <c r="G56" s="151"/>
      <c r="H56" s="151"/>
      <c r="I56" s="151"/>
      <c r="J56" s="151"/>
      <c r="K56" s="151"/>
      <c r="L56" s="151"/>
      <c r="M56" s="151"/>
    </row>
    <row r="57" spans="1:13" hidden="1">
      <c r="A57" s="10" t="s">
        <v>129</v>
      </c>
      <c r="B57" s="11" t="s">
        <v>130</v>
      </c>
      <c r="C57" s="151"/>
      <c r="D57" s="151"/>
      <c r="E57" s="151"/>
      <c r="F57" s="151"/>
      <c r="G57" s="151"/>
      <c r="H57" s="151"/>
      <c r="I57" s="151"/>
      <c r="J57" s="151"/>
      <c r="K57" s="151"/>
      <c r="L57" s="151"/>
      <c r="M57" s="151"/>
    </row>
    <row r="58" spans="1:13" hidden="1">
      <c r="A58" s="10" t="s">
        <v>131</v>
      </c>
      <c r="B58" s="11" t="s">
        <v>132</v>
      </c>
      <c r="C58" s="151"/>
      <c r="D58" s="151">
        <v>0</v>
      </c>
      <c r="E58" s="151">
        <v>0</v>
      </c>
      <c r="F58" s="151">
        <v>0</v>
      </c>
      <c r="G58" s="151">
        <v>0</v>
      </c>
      <c r="H58" s="151">
        <v>0</v>
      </c>
      <c r="I58" s="151">
        <v>0</v>
      </c>
      <c r="J58" s="151">
        <v>0</v>
      </c>
      <c r="K58" s="151">
        <v>0</v>
      </c>
      <c r="L58" s="151">
        <v>0</v>
      </c>
      <c r="M58" s="151">
        <v>0</v>
      </c>
    </row>
    <row r="59" spans="1:13" ht="26.25">
      <c r="A59" s="6" t="s">
        <v>133</v>
      </c>
      <c r="B59" s="7" t="s">
        <v>134</v>
      </c>
      <c r="C59" s="153">
        <f t="shared" ref="C59:M59" si="43">C60+C61</f>
        <v>0</v>
      </c>
      <c r="D59" s="153">
        <f t="shared" si="43"/>
        <v>0</v>
      </c>
      <c r="E59" s="153">
        <f t="shared" si="43"/>
        <v>0</v>
      </c>
      <c r="F59" s="153">
        <f t="shared" si="43"/>
        <v>0</v>
      </c>
      <c r="G59" s="153">
        <f t="shared" si="43"/>
        <v>0</v>
      </c>
      <c r="H59" s="153">
        <f t="shared" si="43"/>
        <v>0</v>
      </c>
      <c r="I59" s="153">
        <f t="shared" si="43"/>
        <v>0</v>
      </c>
      <c r="J59" s="153">
        <f t="shared" si="43"/>
        <v>0</v>
      </c>
      <c r="K59" s="153">
        <f t="shared" si="43"/>
        <v>0</v>
      </c>
      <c r="L59" s="153">
        <f t="shared" si="43"/>
        <v>0</v>
      </c>
      <c r="M59" s="153">
        <f t="shared" si="43"/>
        <v>0</v>
      </c>
    </row>
    <row r="60" spans="1:13" ht="26.25" hidden="1">
      <c r="A60" s="15" t="s">
        <v>135</v>
      </c>
      <c r="B60" s="16" t="s">
        <v>136</v>
      </c>
      <c r="C60" s="151"/>
      <c r="D60" s="151"/>
      <c r="E60" s="151"/>
      <c r="F60" s="151"/>
      <c r="G60" s="151"/>
      <c r="H60" s="151"/>
      <c r="I60" s="151"/>
      <c r="J60" s="151"/>
      <c r="K60" s="151"/>
      <c r="L60" s="151"/>
      <c r="M60" s="151"/>
    </row>
    <row r="61" spans="1:13" ht="26.25" hidden="1">
      <c r="A61" s="15" t="s">
        <v>137</v>
      </c>
      <c r="B61" s="16" t="s">
        <v>138</v>
      </c>
      <c r="C61" s="151"/>
      <c r="D61" s="151"/>
      <c r="E61" s="151"/>
      <c r="F61" s="151"/>
      <c r="G61" s="151"/>
      <c r="H61" s="151"/>
      <c r="I61" s="151"/>
      <c r="J61" s="151"/>
      <c r="K61" s="151"/>
      <c r="L61" s="151"/>
      <c r="M61" s="151"/>
    </row>
    <row r="62" spans="1:13" ht="26.25" hidden="1">
      <c r="A62" s="13" t="s">
        <v>139</v>
      </c>
      <c r="B62" s="14" t="s">
        <v>140</v>
      </c>
      <c r="C62" s="151"/>
      <c r="D62" s="151"/>
      <c r="E62" s="151"/>
      <c r="F62" s="151"/>
      <c r="G62" s="151"/>
      <c r="H62" s="151"/>
      <c r="I62" s="151"/>
      <c r="J62" s="151"/>
      <c r="K62" s="151"/>
      <c r="L62" s="151"/>
      <c r="M62" s="151"/>
    </row>
    <row r="63" spans="1:13" ht="25.5" customHeight="1">
      <c r="A63" s="6" t="s">
        <v>141</v>
      </c>
      <c r="B63" s="7" t="s">
        <v>142</v>
      </c>
      <c r="C63" s="153">
        <f t="shared" ref="C63" si="44">SUM(C64:C75)</f>
        <v>0</v>
      </c>
      <c r="D63" s="153">
        <f>SUM(D64+D65+D71+D75)</f>
        <v>35067775403.099998</v>
      </c>
      <c r="E63" s="153">
        <f t="shared" ref="E63:M63" si="45">SUM(E64+E65+E71+E75)</f>
        <v>36364170025.682999</v>
      </c>
      <c r="F63" s="153">
        <f t="shared" si="45"/>
        <v>37455095538.723488</v>
      </c>
      <c r="G63" s="153">
        <f t="shared" si="45"/>
        <v>38571748405.515205</v>
      </c>
      <c r="H63" s="153">
        <f t="shared" si="45"/>
        <v>39736110857.530655</v>
      </c>
      <c r="I63" s="153">
        <f t="shared" si="45"/>
        <v>40928194182.466576</v>
      </c>
      <c r="J63" s="153">
        <f t="shared" si="45"/>
        <v>42156040008.830574</v>
      </c>
      <c r="K63" s="153">
        <f t="shared" si="45"/>
        <v>43420721208.805496</v>
      </c>
      <c r="L63" s="153">
        <f t="shared" si="45"/>
        <v>44723343645.149658</v>
      </c>
      <c r="M63" s="153">
        <f t="shared" si="45"/>
        <v>46065043954.50415</v>
      </c>
    </row>
    <row r="64" spans="1:13">
      <c r="A64" s="10" t="s">
        <v>143</v>
      </c>
      <c r="B64" s="204" t="s">
        <v>144</v>
      </c>
      <c r="C64" s="151"/>
      <c r="D64" s="151"/>
      <c r="E64" s="151"/>
      <c r="F64" s="151"/>
      <c r="G64" s="151"/>
      <c r="H64" s="151"/>
      <c r="I64" s="151"/>
      <c r="J64" s="151"/>
      <c r="K64" s="151"/>
      <c r="L64" s="151"/>
      <c r="M64" s="151"/>
    </row>
    <row r="65" spans="1:13">
      <c r="A65" s="10" t="s">
        <v>145</v>
      </c>
      <c r="B65" s="204" t="s">
        <v>146</v>
      </c>
      <c r="C65" s="203"/>
      <c r="D65" s="203">
        <f>SUM(D66:D70)</f>
        <v>33413177310.849998</v>
      </c>
      <c r="E65" s="203">
        <f t="shared" ref="E65:M65" si="46">SUM(E66:E70)</f>
        <v>34415572630.175499</v>
      </c>
      <c r="F65" s="203">
        <f t="shared" si="46"/>
        <v>35448039809.080765</v>
      </c>
      <c r="G65" s="203">
        <f t="shared" si="46"/>
        <v>36511481003.353195</v>
      </c>
      <c r="H65" s="203">
        <f t="shared" si="46"/>
        <v>37606825433.453789</v>
      </c>
      <c r="I65" s="203">
        <f t="shared" si="46"/>
        <v>38735030196.457405</v>
      </c>
      <c r="J65" s="203">
        <f t="shared" si="46"/>
        <v>39897081102.351128</v>
      </c>
      <c r="K65" s="203">
        <f t="shared" si="46"/>
        <v>41093993535.421661</v>
      </c>
      <c r="L65" s="203">
        <f t="shared" si="46"/>
        <v>42326813341.484314</v>
      </c>
      <c r="M65" s="203">
        <f t="shared" si="46"/>
        <v>43596617741.728844</v>
      </c>
    </row>
    <row r="66" spans="1:13" hidden="1">
      <c r="A66" s="10"/>
      <c r="B66" s="11" t="s">
        <v>517</v>
      </c>
      <c r="C66" s="151"/>
      <c r="D66" s="151">
        <f t="shared" ref="D66:M66" si="47">SUM(D34-D102)</f>
        <v>14076954409</v>
      </c>
      <c r="E66" s="151">
        <f t="shared" si="47"/>
        <v>14499263041.27</v>
      </c>
      <c r="F66" s="151">
        <f t="shared" si="47"/>
        <v>14934240932.508101</v>
      </c>
      <c r="G66" s="151">
        <f t="shared" si="47"/>
        <v>15382268160.483343</v>
      </c>
      <c r="H66" s="151">
        <f t="shared" si="47"/>
        <v>15843736205.297846</v>
      </c>
      <c r="I66" s="151">
        <f t="shared" si="47"/>
        <v>16319048291.456779</v>
      </c>
      <c r="J66" s="151">
        <f t="shared" si="47"/>
        <v>16808619740.200483</v>
      </c>
      <c r="K66" s="151">
        <f t="shared" si="47"/>
        <v>17312878332.406498</v>
      </c>
      <c r="L66" s="151">
        <f t="shared" si="47"/>
        <v>17832264682.378693</v>
      </c>
      <c r="M66" s="151">
        <f t="shared" si="47"/>
        <v>18367232622.850056</v>
      </c>
    </row>
    <row r="67" spans="1:13" hidden="1">
      <c r="A67" s="10"/>
      <c r="B67" s="11" t="s">
        <v>518</v>
      </c>
      <c r="C67" s="151"/>
      <c r="D67" s="151">
        <f>SUM(D38)</f>
        <v>16360864909.85</v>
      </c>
      <c r="E67" s="151">
        <f t="shared" ref="E67:M67" si="48">SUM(E38)</f>
        <v>16851690857.1455</v>
      </c>
      <c r="F67" s="151">
        <f t="shared" si="48"/>
        <v>17357241582.859867</v>
      </c>
      <c r="G67" s="151">
        <f t="shared" si="48"/>
        <v>17877958830.345665</v>
      </c>
      <c r="H67" s="151">
        <f t="shared" si="48"/>
        <v>18414297595.256035</v>
      </c>
      <c r="I67" s="151">
        <f t="shared" si="48"/>
        <v>18966726523.113716</v>
      </c>
      <c r="J67" s="151">
        <f t="shared" si="48"/>
        <v>19535728318.807129</v>
      </c>
      <c r="K67" s="151">
        <f t="shared" si="48"/>
        <v>20121800168.371342</v>
      </c>
      <c r="L67" s="151">
        <f t="shared" si="48"/>
        <v>20725454173.422482</v>
      </c>
      <c r="M67" s="151">
        <f t="shared" si="48"/>
        <v>21347217798.625156</v>
      </c>
    </row>
    <row r="68" spans="1:13" hidden="1">
      <c r="A68" s="10"/>
      <c r="B68" s="11" t="s">
        <v>519</v>
      </c>
      <c r="C68" s="151"/>
      <c r="D68" s="151">
        <f>SUM(D81)</f>
        <v>2560088592</v>
      </c>
      <c r="E68" s="151">
        <f t="shared" ref="E68:M68" si="49">SUM(E81)</f>
        <v>2636891249.7600002</v>
      </c>
      <c r="F68" s="151">
        <f t="shared" si="49"/>
        <v>2715997987.2528005</v>
      </c>
      <c r="G68" s="151">
        <f t="shared" si="49"/>
        <v>2797477926.8703847</v>
      </c>
      <c r="H68" s="151">
        <f t="shared" si="49"/>
        <v>2881402264.6764965</v>
      </c>
      <c r="I68" s="151">
        <f t="shared" si="49"/>
        <v>2967844332.6167912</v>
      </c>
      <c r="J68" s="151">
        <f t="shared" si="49"/>
        <v>3056879662.595295</v>
      </c>
      <c r="K68" s="151">
        <f t="shared" si="49"/>
        <v>3148586052.4731541</v>
      </c>
      <c r="L68" s="151">
        <f t="shared" si="49"/>
        <v>3243043634.047349</v>
      </c>
      <c r="M68" s="151">
        <f t="shared" si="49"/>
        <v>3340334943.0687695</v>
      </c>
    </row>
    <row r="69" spans="1:13" hidden="1">
      <c r="A69" s="10"/>
      <c r="B69" s="11" t="s">
        <v>501</v>
      </c>
      <c r="C69" s="151"/>
      <c r="D69" s="151">
        <v>0</v>
      </c>
      <c r="E69" s="151">
        <v>427727482</v>
      </c>
      <c r="F69" s="151">
        <v>440559306.46000004</v>
      </c>
      <c r="G69" s="151">
        <v>453776085.65380007</v>
      </c>
      <c r="H69" s="151">
        <v>467389368.22341406</v>
      </c>
      <c r="I69" s="151">
        <v>481411049.27011651</v>
      </c>
      <c r="J69" s="151">
        <v>495853380.74822003</v>
      </c>
      <c r="K69" s="151">
        <v>510728982.17066664</v>
      </c>
      <c r="L69" s="151">
        <v>526050851.63578665</v>
      </c>
      <c r="M69" s="151">
        <v>541832377.18486023</v>
      </c>
    </row>
    <row r="70" spans="1:13" hidden="1">
      <c r="A70" s="10"/>
      <c r="B70" s="11" t="s">
        <v>536</v>
      </c>
      <c r="C70" s="151"/>
      <c r="D70" s="151">
        <v>415269400</v>
      </c>
      <c r="E70" s="151">
        <v>0</v>
      </c>
      <c r="F70" s="151">
        <v>0</v>
      </c>
      <c r="G70" s="151">
        <v>0</v>
      </c>
      <c r="H70" s="151">
        <v>0</v>
      </c>
      <c r="I70" s="151">
        <v>0</v>
      </c>
      <c r="J70" s="151">
        <v>0</v>
      </c>
      <c r="K70" s="151">
        <v>0</v>
      </c>
      <c r="L70" s="151">
        <v>0</v>
      </c>
      <c r="M70" s="151">
        <v>0</v>
      </c>
    </row>
    <row r="71" spans="1:13">
      <c r="A71" s="10" t="s">
        <v>147</v>
      </c>
      <c r="B71" s="204" t="s">
        <v>148</v>
      </c>
      <c r="C71" s="203"/>
      <c r="D71" s="203">
        <f>SUM(D72:D74)</f>
        <v>1654598092.25</v>
      </c>
      <c r="E71" s="203">
        <f t="shared" ref="E71:M71" si="50">SUM(E72:E74)</f>
        <v>1948597395.5074999</v>
      </c>
      <c r="F71" s="203">
        <f t="shared" si="50"/>
        <v>2007055729.642725</v>
      </c>
      <c r="G71" s="203">
        <f t="shared" si="50"/>
        <v>2060267402.1620069</v>
      </c>
      <c r="H71" s="203">
        <f t="shared" si="50"/>
        <v>2129285424.0768669</v>
      </c>
      <c r="I71" s="203">
        <f t="shared" si="50"/>
        <v>2193163986.0091729</v>
      </c>
      <c r="J71" s="203">
        <f t="shared" si="50"/>
        <v>2258958906.4794483</v>
      </c>
      <c r="K71" s="203">
        <f t="shared" si="50"/>
        <v>2326727673.3838315</v>
      </c>
      <c r="L71" s="203">
        <f t="shared" si="50"/>
        <v>2396530303.6653466</v>
      </c>
      <c r="M71" s="203">
        <f t="shared" si="50"/>
        <v>2468426212.7753072</v>
      </c>
    </row>
    <row r="72" spans="1:13" ht="15.75" hidden="1" customHeight="1">
      <c r="A72" s="10" t="s">
        <v>149</v>
      </c>
      <c r="B72" s="11" t="s">
        <v>516</v>
      </c>
      <c r="C72" s="151"/>
      <c r="D72" s="151">
        <f>SUM(D35*0.15)</f>
        <v>251240975.25</v>
      </c>
      <c r="E72" s="151">
        <f t="shared" ref="E72:M72" si="51">SUM(E35*0.15)</f>
        <v>258778204.50749999</v>
      </c>
      <c r="F72" s="151">
        <f t="shared" si="51"/>
        <v>266541550.64272499</v>
      </c>
      <c r="G72" s="151">
        <f t="shared" si="51"/>
        <v>274537797.16200674</v>
      </c>
      <c r="H72" s="151">
        <f t="shared" si="51"/>
        <v>282773931.07686692</v>
      </c>
      <c r="I72" s="151">
        <f t="shared" si="51"/>
        <v>291257149.00917298</v>
      </c>
      <c r="J72" s="151">
        <f t="shared" si="51"/>
        <v>299994863.47944814</v>
      </c>
      <c r="K72" s="151">
        <f t="shared" si="51"/>
        <v>308994709.38383162</v>
      </c>
      <c r="L72" s="151">
        <f t="shared" si="51"/>
        <v>318264550.66534656</v>
      </c>
      <c r="M72" s="151">
        <f t="shared" si="51"/>
        <v>327812487.18530703</v>
      </c>
    </row>
    <row r="73" spans="1:13" ht="15.75" hidden="1" customHeight="1">
      <c r="A73" s="10"/>
      <c r="B73" s="11" t="s">
        <v>501</v>
      </c>
      <c r="C73" s="151"/>
      <c r="D73" s="151">
        <v>0</v>
      </c>
      <c r="E73" s="151">
        <v>1689819191</v>
      </c>
      <c r="F73" s="151">
        <v>1740514179</v>
      </c>
      <c r="G73" s="151">
        <v>1785729605</v>
      </c>
      <c r="H73" s="151">
        <v>1846511493</v>
      </c>
      <c r="I73" s="151">
        <v>1901906837</v>
      </c>
      <c r="J73" s="151">
        <v>1958964043</v>
      </c>
      <c r="K73" s="151">
        <v>2017732964</v>
      </c>
      <c r="L73" s="151">
        <v>2078265753</v>
      </c>
      <c r="M73" s="151">
        <f t="shared" ref="M73" si="52">SUM(L73*M2)</f>
        <v>2140613725.5900002</v>
      </c>
    </row>
    <row r="74" spans="1:13" ht="15.75" hidden="1" customHeight="1">
      <c r="A74" s="10"/>
      <c r="B74" s="11" t="s">
        <v>536</v>
      </c>
      <c r="C74" s="151"/>
      <c r="D74" s="151">
        <v>1403357117</v>
      </c>
      <c r="E74" s="151">
        <v>0</v>
      </c>
      <c r="F74" s="151">
        <v>0</v>
      </c>
      <c r="G74" s="151">
        <v>0</v>
      </c>
      <c r="H74" s="151">
        <v>0</v>
      </c>
      <c r="I74" s="151">
        <v>0</v>
      </c>
      <c r="J74" s="151">
        <v>0</v>
      </c>
      <c r="K74" s="151">
        <v>0</v>
      </c>
      <c r="L74" s="151">
        <v>0</v>
      </c>
      <c r="M74" s="151">
        <v>0</v>
      </c>
    </row>
    <row r="75" spans="1:13">
      <c r="A75" s="10" t="s">
        <v>150</v>
      </c>
      <c r="B75" s="204" t="s">
        <v>151</v>
      </c>
      <c r="C75" s="151"/>
      <c r="D75" s="151"/>
      <c r="E75" s="151"/>
      <c r="F75" s="151"/>
      <c r="G75" s="151"/>
      <c r="H75" s="151"/>
      <c r="I75" s="151"/>
      <c r="J75" s="151"/>
      <c r="K75" s="151"/>
      <c r="L75" s="151"/>
      <c r="M75" s="151"/>
    </row>
    <row r="76" spans="1:13">
      <c r="A76" s="6" t="s">
        <v>152</v>
      </c>
      <c r="B76" s="7" t="s">
        <v>153</v>
      </c>
      <c r="C76" s="153">
        <f t="shared" ref="C76:M76" si="53">SUM(C77:C78)</f>
        <v>0</v>
      </c>
      <c r="D76" s="153">
        <f t="shared" si="53"/>
        <v>0</v>
      </c>
      <c r="E76" s="153">
        <f t="shared" si="53"/>
        <v>0</v>
      </c>
      <c r="F76" s="153">
        <f t="shared" si="53"/>
        <v>0</v>
      </c>
      <c r="G76" s="153">
        <f t="shared" si="53"/>
        <v>0</v>
      </c>
      <c r="H76" s="153">
        <f t="shared" si="53"/>
        <v>0</v>
      </c>
      <c r="I76" s="153">
        <f t="shared" si="53"/>
        <v>0</v>
      </c>
      <c r="J76" s="153">
        <f t="shared" si="53"/>
        <v>0</v>
      </c>
      <c r="K76" s="153">
        <f t="shared" si="53"/>
        <v>0</v>
      </c>
      <c r="L76" s="153">
        <f t="shared" si="53"/>
        <v>0</v>
      </c>
      <c r="M76" s="153">
        <f t="shared" si="53"/>
        <v>0</v>
      </c>
    </row>
    <row r="77" spans="1:13">
      <c r="A77" s="10" t="s">
        <v>154</v>
      </c>
      <c r="B77" s="11" t="s">
        <v>155</v>
      </c>
      <c r="C77" s="151"/>
      <c r="D77" s="151">
        <v>0</v>
      </c>
      <c r="E77" s="161">
        <v>0</v>
      </c>
      <c r="F77" s="161">
        <v>0</v>
      </c>
      <c r="G77" s="161">
        <v>0</v>
      </c>
      <c r="H77" s="161">
        <v>0</v>
      </c>
      <c r="I77" s="161">
        <v>0</v>
      </c>
      <c r="J77" s="161">
        <v>0</v>
      </c>
      <c r="K77" s="161">
        <v>0</v>
      </c>
      <c r="L77" s="161">
        <v>0</v>
      </c>
      <c r="M77" s="161">
        <v>0</v>
      </c>
    </row>
    <row r="78" spans="1:13" hidden="1">
      <c r="A78" s="10" t="s">
        <v>156</v>
      </c>
      <c r="B78" s="11" t="s">
        <v>157</v>
      </c>
      <c r="C78" s="151"/>
      <c r="D78" s="151"/>
      <c r="E78" s="151"/>
      <c r="F78" s="151"/>
      <c r="G78" s="151"/>
      <c r="H78" s="151"/>
      <c r="I78" s="151"/>
      <c r="J78" s="151"/>
      <c r="K78" s="151"/>
      <c r="L78" s="151"/>
      <c r="M78" s="151"/>
    </row>
    <row r="79" spans="1:13">
      <c r="A79" s="4" t="s">
        <v>158</v>
      </c>
      <c r="B79" s="5" t="s">
        <v>159</v>
      </c>
      <c r="C79" s="154">
        <f t="shared" ref="C79:M79" si="54">C5-C43</f>
        <v>0</v>
      </c>
      <c r="D79" s="154">
        <f t="shared" si="54"/>
        <v>8425350745.75</v>
      </c>
      <c r="E79" s="154">
        <f t="shared" si="54"/>
        <v>8431623159.8124924</v>
      </c>
      <c r="F79" s="154">
        <f t="shared" si="54"/>
        <v>8682359624.6040802</v>
      </c>
      <c r="G79" s="154">
        <f t="shared" si="54"/>
        <v>8947530122.2700882</v>
      </c>
      <c r="H79" s="154">
        <f t="shared" si="54"/>
        <v>9206353724.0283966</v>
      </c>
      <c r="I79" s="154">
        <f t="shared" si="54"/>
        <v>9480056342.3970566</v>
      </c>
      <c r="J79" s="154">
        <f t="shared" si="54"/>
        <v>9761870517.8710861</v>
      </c>
      <c r="K79" s="154">
        <f t="shared" si="54"/>
        <v>10052035619.233032</v>
      </c>
      <c r="L79" s="154">
        <f t="shared" si="54"/>
        <v>10350797232.687263</v>
      </c>
      <c r="M79" s="154">
        <f t="shared" si="54"/>
        <v>10658410548.423424</v>
      </c>
    </row>
    <row r="80" spans="1:13">
      <c r="A80" s="6" t="s">
        <v>160</v>
      </c>
      <c r="B80" s="7" t="s">
        <v>161</v>
      </c>
      <c r="C80" s="153">
        <f t="shared" ref="C80" si="55">SUM(C81:C92)</f>
        <v>0</v>
      </c>
      <c r="D80" s="153">
        <f>SUM(D81:D84)</f>
        <v>41971358668</v>
      </c>
      <c r="E80" s="153">
        <f t="shared" ref="E80:M80" si="56">SUM(E81:E84)</f>
        <v>23601044052.060005</v>
      </c>
      <c r="F80" s="153">
        <f t="shared" si="56"/>
        <v>24309075373.621803</v>
      </c>
      <c r="G80" s="153">
        <f t="shared" si="56"/>
        <v>25038347634.830456</v>
      </c>
      <c r="H80" s="153">
        <f t="shared" si="56"/>
        <v>25789498063.875374</v>
      </c>
      <c r="I80" s="153">
        <f t="shared" si="56"/>
        <v>26563183005.791634</v>
      </c>
      <c r="J80" s="153">
        <f t="shared" si="56"/>
        <v>27360078495.965385</v>
      </c>
      <c r="K80" s="153">
        <f t="shared" si="56"/>
        <v>28180880850.844349</v>
      </c>
      <c r="L80" s="153">
        <f t="shared" si="56"/>
        <v>29026307276.369678</v>
      </c>
      <c r="M80" s="153">
        <f t="shared" si="56"/>
        <v>29897096494.66077</v>
      </c>
    </row>
    <row r="81" spans="1:13">
      <c r="A81" s="10" t="s">
        <v>162</v>
      </c>
      <c r="B81" s="11" t="s">
        <v>163</v>
      </c>
      <c r="C81" s="151"/>
      <c r="D81" s="151">
        <v>2560088592</v>
      </c>
      <c r="E81" s="151">
        <f t="shared" ref="E81:M81" si="57">SUM(D81*E2)</f>
        <v>2636891249.7600002</v>
      </c>
      <c r="F81" s="151">
        <f t="shared" si="57"/>
        <v>2715997987.2528005</v>
      </c>
      <c r="G81" s="151">
        <f t="shared" si="57"/>
        <v>2797477926.8703847</v>
      </c>
      <c r="H81" s="151">
        <f t="shared" si="57"/>
        <v>2881402264.6764965</v>
      </c>
      <c r="I81" s="151">
        <f t="shared" si="57"/>
        <v>2967844332.6167912</v>
      </c>
      <c r="J81" s="151">
        <f t="shared" si="57"/>
        <v>3056879662.595295</v>
      </c>
      <c r="K81" s="151">
        <f t="shared" si="57"/>
        <v>3148586052.4731541</v>
      </c>
      <c r="L81" s="151">
        <f t="shared" si="57"/>
        <v>3243043634.047349</v>
      </c>
      <c r="M81" s="151">
        <f t="shared" si="57"/>
        <v>3340334943.0687695</v>
      </c>
    </row>
    <row r="82" spans="1:13">
      <c r="A82" s="10" t="s">
        <v>164</v>
      </c>
      <c r="B82" s="11" t="s">
        <v>533</v>
      </c>
      <c r="C82" s="151"/>
      <c r="D82" s="151">
        <v>19057723666</v>
      </c>
      <c r="E82" s="151">
        <v>0</v>
      </c>
      <c r="F82" s="151">
        <v>0</v>
      </c>
      <c r="G82" s="151">
        <v>0</v>
      </c>
      <c r="H82" s="151">
        <v>0</v>
      </c>
      <c r="I82" s="151">
        <v>0</v>
      </c>
      <c r="J82" s="151">
        <v>0</v>
      </c>
      <c r="K82" s="151">
        <v>0</v>
      </c>
      <c r="L82" s="151">
        <v>0</v>
      </c>
      <c r="M82" s="151">
        <v>0</v>
      </c>
    </row>
    <row r="83" spans="1:13">
      <c r="A83" s="10" t="s">
        <v>166</v>
      </c>
      <c r="B83" s="11" t="s">
        <v>531</v>
      </c>
      <c r="C83" s="151"/>
      <c r="D83" s="151">
        <v>19962589992</v>
      </c>
      <c r="E83" s="151">
        <f t="shared" ref="E83:M83" si="58">SUM(D83*E2)</f>
        <v>20561467691.760002</v>
      </c>
      <c r="F83" s="151">
        <f t="shared" si="58"/>
        <v>21178311722.512802</v>
      </c>
      <c r="G83" s="151">
        <f t="shared" si="58"/>
        <v>21813661074.188187</v>
      </c>
      <c r="H83" s="151">
        <f t="shared" si="58"/>
        <v>22468070906.413834</v>
      </c>
      <c r="I83" s="151">
        <f t="shared" si="58"/>
        <v>23142113033.606251</v>
      </c>
      <c r="J83" s="151">
        <f t="shared" si="58"/>
        <v>23836376424.614437</v>
      </c>
      <c r="K83" s="151">
        <f t="shared" si="58"/>
        <v>24551467717.352871</v>
      </c>
      <c r="L83" s="151">
        <f t="shared" si="58"/>
        <v>25288011748.873459</v>
      </c>
      <c r="M83" s="151">
        <f t="shared" si="58"/>
        <v>26046652101.339664</v>
      </c>
    </row>
    <row r="84" spans="1:13">
      <c r="A84" s="10" t="s">
        <v>167</v>
      </c>
      <c r="B84" s="11" t="s">
        <v>532</v>
      </c>
      <c r="C84" s="151"/>
      <c r="D84" s="151">
        <v>390956418</v>
      </c>
      <c r="E84" s="151">
        <f t="shared" ref="E84:M84" si="59">SUM(D84*E2)</f>
        <v>402685110.54000002</v>
      </c>
      <c r="F84" s="151">
        <f t="shared" si="59"/>
        <v>414765663.85620004</v>
      </c>
      <c r="G84" s="151">
        <f t="shared" si="59"/>
        <v>427208633.77188605</v>
      </c>
      <c r="H84" s="151">
        <f t="shared" si="59"/>
        <v>440024892.78504264</v>
      </c>
      <c r="I84" s="151">
        <f t="shared" si="59"/>
        <v>453225639.56859392</v>
      </c>
      <c r="J84" s="151">
        <f t="shared" si="59"/>
        <v>466822408.75565177</v>
      </c>
      <c r="K84" s="151">
        <f t="shared" si="59"/>
        <v>480827081.01832134</v>
      </c>
      <c r="L84" s="151">
        <f t="shared" si="59"/>
        <v>495251893.44887102</v>
      </c>
      <c r="M84" s="151">
        <f t="shared" si="59"/>
        <v>510109450.25233716</v>
      </c>
    </row>
    <row r="85" spans="1:13" hidden="1">
      <c r="A85" s="10" t="s">
        <v>167</v>
      </c>
      <c r="B85" s="11" t="s">
        <v>168</v>
      </c>
      <c r="C85" s="151"/>
      <c r="D85" s="151"/>
      <c r="E85" s="151"/>
      <c r="F85" s="151"/>
      <c r="G85" s="151"/>
      <c r="H85" s="151"/>
      <c r="I85" s="151"/>
      <c r="J85" s="151"/>
      <c r="K85" s="151"/>
      <c r="L85" s="151"/>
      <c r="M85" s="151"/>
    </row>
    <row r="86" spans="1:13" hidden="1">
      <c r="A86" s="10" t="s">
        <v>169</v>
      </c>
      <c r="B86" s="11" t="s">
        <v>170</v>
      </c>
      <c r="C86" s="151"/>
      <c r="D86" s="151"/>
      <c r="E86" s="151"/>
      <c r="F86" s="151"/>
      <c r="G86" s="151"/>
      <c r="H86" s="151"/>
      <c r="I86" s="151"/>
      <c r="J86" s="151"/>
      <c r="K86" s="151"/>
      <c r="L86" s="151"/>
      <c r="M86" s="151"/>
    </row>
    <row r="87" spans="1:13" hidden="1">
      <c r="A87" s="10" t="s">
        <v>171</v>
      </c>
      <c r="B87" s="11" t="s">
        <v>172</v>
      </c>
      <c r="C87" s="151"/>
      <c r="D87" s="151"/>
      <c r="E87" s="151"/>
      <c r="F87" s="151"/>
      <c r="G87" s="151"/>
      <c r="H87" s="151"/>
      <c r="I87" s="151"/>
      <c r="J87" s="151"/>
      <c r="K87" s="151"/>
      <c r="L87" s="151"/>
      <c r="M87" s="151"/>
    </row>
    <row r="88" spans="1:13" hidden="1">
      <c r="A88" s="10" t="s">
        <v>173</v>
      </c>
      <c r="B88" s="11" t="s">
        <v>174</v>
      </c>
      <c r="C88" s="151"/>
      <c r="D88" s="151"/>
      <c r="E88" s="151"/>
      <c r="F88" s="151"/>
      <c r="G88" s="151"/>
      <c r="H88" s="151"/>
      <c r="I88" s="151"/>
      <c r="J88" s="151"/>
      <c r="K88" s="151"/>
      <c r="L88" s="151"/>
      <c r="M88" s="151"/>
    </row>
    <row r="89" spans="1:13" hidden="1">
      <c r="A89" s="10" t="s">
        <v>175</v>
      </c>
      <c r="B89" s="11" t="s">
        <v>176</v>
      </c>
      <c r="C89" s="151"/>
      <c r="D89" s="151"/>
      <c r="E89" s="151"/>
      <c r="F89" s="151"/>
      <c r="G89" s="151"/>
      <c r="H89" s="151"/>
      <c r="I89" s="151"/>
      <c r="J89" s="151"/>
      <c r="K89" s="151"/>
      <c r="L89" s="151"/>
      <c r="M89" s="151"/>
    </row>
    <row r="90" spans="1:13" hidden="1">
      <c r="A90" s="10" t="s">
        <v>177</v>
      </c>
      <c r="B90" s="11" t="s">
        <v>178</v>
      </c>
      <c r="C90" s="151"/>
      <c r="D90" s="151"/>
      <c r="E90" s="151"/>
      <c r="F90" s="151"/>
      <c r="G90" s="151"/>
      <c r="H90" s="151"/>
      <c r="I90" s="151"/>
      <c r="J90" s="151"/>
      <c r="K90" s="151"/>
      <c r="L90" s="151"/>
      <c r="M90" s="151"/>
    </row>
    <row r="91" spans="1:13" hidden="1">
      <c r="A91" s="10" t="s">
        <v>179</v>
      </c>
      <c r="B91" s="11" t="s">
        <v>180</v>
      </c>
      <c r="C91" s="151"/>
      <c r="D91" s="151"/>
      <c r="E91" s="151"/>
      <c r="F91" s="151"/>
      <c r="G91" s="151"/>
      <c r="H91" s="151"/>
      <c r="I91" s="151"/>
      <c r="J91" s="151"/>
      <c r="K91" s="151"/>
      <c r="L91" s="151"/>
      <c r="M91" s="151"/>
    </row>
    <row r="92" spans="1:13" hidden="1">
      <c r="A92" s="10" t="s">
        <v>181</v>
      </c>
      <c r="B92" s="11" t="s">
        <v>182</v>
      </c>
      <c r="C92" s="151"/>
      <c r="D92" s="151"/>
      <c r="E92" s="151"/>
      <c r="F92" s="151"/>
      <c r="G92" s="151"/>
      <c r="H92" s="151"/>
      <c r="I92" s="151"/>
      <c r="J92" s="151"/>
      <c r="K92" s="151"/>
      <c r="L92" s="151"/>
      <c r="M92" s="151"/>
    </row>
    <row r="93" spans="1:13">
      <c r="A93" s="6" t="s">
        <v>183</v>
      </c>
      <c r="B93" s="7" t="s">
        <v>184</v>
      </c>
      <c r="C93" s="153">
        <f>C94+C139</f>
        <v>0</v>
      </c>
      <c r="D93" s="153">
        <f>D94+D139+D140</f>
        <v>50396709413.909523</v>
      </c>
      <c r="E93" s="153">
        <f t="shared" ref="E93:M93" si="60">E94+E139+E140</f>
        <v>32032667212.469055</v>
      </c>
      <c r="F93" s="153">
        <f t="shared" si="60"/>
        <v>32991434998.225883</v>
      </c>
      <c r="G93" s="153">
        <f t="shared" si="60"/>
        <v>33985877757.100548</v>
      </c>
      <c r="H93" s="153">
        <f t="shared" si="60"/>
        <v>34995851787.903755</v>
      </c>
      <c r="I93" s="153">
        <f t="shared" si="60"/>
        <v>36043239348.188683</v>
      </c>
      <c r="J93" s="153">
        <f t="shared" si="60"/>
        <v>37121949013.836464</v>
      </c>
      <c r="K93" s="153">
        <f t="shared" si="60"/>
        <v>38232916470.077377</v>
      </c>
      <c r="L93" s="153">
        <f t="shared" si="60"/>
        <v>39377104509.056946</v>
      </c>
      <c r="M93" s="153">
        <f t="shared" si="60"/>
        <v>40555507043.084198</v>
      </c>
    </row>
    <row r="94" spans="1:13" ht="26.25">
      <c r="A94" s="6" t="s">
        <v>185</v>
      </c>
      <c r="B94" s="7" t="s">
        <v>186</v>
      </c>
      <c r="C94" s="153">
        <f>SUM(C95:C114)</f>
        <v>0</v>
      </c>
      <c r="D94" s="153">
        <f>SUM(D95+D102+D104+D108+D111+D114)</f>
        <v>37722791020.010025</v>
      </c>
      <c r="E94" s="153">
        <f t="shared" ref="E94:M94" si="61">SUM(E95+E102+E104+E108+E111+E114)</f>
        <v>30577268777.865303</v>
      </c>
      <c r="F94" s="153">
        <f t="shared" si="61"/>
        <v>31366036563.622131</v>
      </c>
      <c r="G94" s="153">
        <f t="shared" si="61"/>
        <v>33836495395.877548</v>
      </c>
      <c r="H94" s="153">
        <f t="shared" si="61"/>
        <v>34995851787.903755</v>
      </c>
      <c r="I94" s="153">
        <f t="shared" si="61"/>
        <v>36043239348.188683</v>
      </c>
      <c r="J94" s="153">
        <f t="shared" si="61"/>
        <v>37121949013.836464</v>
      </c>
      <c r="K94" s="153">
        <f t="shared" si="61"/>
        <v>38232916470.077377</v>
      </c>
      <c r="L94" s="153">
        <f t="shared" si="61"/>
        <v>39377104509.056946</v>
      </c>
      <c r="M94" s="153">
        <f t="shared" si="61"/>
        <v>40555507043.084198</v>
      </c>
    </row>
    <row r="95" spans="1:13">
      <c r="A95" s="10" t="s">
        <v>187</v>
      </c>
      <c r="B95" s="204" t="s">
        <v>508</v>
      </c>
      <c r="C95" s="151"/>
      <c r="D95" s="203">
        <f>SUM(D96:D101)</f>
        <v>7902029019</v>
      </c>
      <c r="E95" s="203">
        <f t="shared" ref="E95:M95" si="62">SUM(E96:E101)</f>
        <v>4257338213.6399999</v>
      </c>
      <c r="F95" s="203">
        <f t="shared" si="62"/>
        <v>6741562904.9792004</v>
      </c>
      <c r="G95" s="203">
        <f t="shared" si="62"/>
        <v>5853809792.1285763</v>
      </c>
      <c r="H95" s="203">
        <f t="shared" si="62"/>
        <v>3969424085.8924341</v>
      </c>
      <c r="I95" s="203">
        <f t="shared" si="62"/>
        <v>4088506808.4692068</v>
      </c>
      <c r="J95" s="203">
        <f t="shared" si="62"/>
        <v>4211162012.7232838</v>
      </c>
      <c r="K95" s="203">
        <f t="shared" si="62"/>
        <v>4337496873.1049824</v>
      </c>
      <c r="L95" s="203">
        <f t="shared" si="62"/>
        <v>4467621779.2981319</v>
      </c>
      <c r="M95" s="203">
        <f t="shared" si="62"/>
        <v>4601650432.6770754</v>
      </c>
    </row>
    <row r="96" spans="1:13">
      <c r="A96" s="10"/>
      <c r="B96" s="11" t="s">
        <v>500</v>
      </c>
      <c r="C96" s="151"/>
      <c r="D96" s="151">
        <f>SUM(D33)</f>
        <v>2183406443</v>
      </c>
      <c r="E96" s="151">
        <f t="shared" ref="E96:M96" si="63">SUM(E33)</f>
        <v>2248908636.29</v>
      </c>
      <c r="F96" s="151">
        <f t="shared" si="63"/>
        <v>2316375895.3787003</v>
      </c>
      <c r="G96" s="151">
        <f t="shared" si="63"/>
        <v>2385867172.2400613</v>
      </c>
      <c r="H96" s="151">
        <f t="shared" si="63"/>
        <v>2457443187.4072633</v>
      </c>
      <c r="I96" s="151">
        <f t="shared" si="63"/>
        <v>2531166483.0294814</v>
      </c>
      <c r="J96" s="151">
        <f t="shared" si="63"/>
        <v>2607101477.5203657</v>
      </c>
      <c r="K96" s="151">
        <f t="shared" si="63"/>
        <v>2685314521.8459768</v>
      </c>
      <c r="L96" s="151">
        <f t="shared" si="63"/>
        <v>2765873957.5013561</v>
      </c>
      <c r="M96" s="151">
        <f t="shared" si="63"/>
        <v>2848850176.226397</v>
      </c>
    </row>
    <row r="97" spans="1:13">
      <c r="A97" s="10"/>
      <c r="B97" s="11" t="s">
        <v>502</v>
      </c>
      <c r="C97" s="151"/>
      <c r="D97" s="151">
        <f>SUM(D37)</f>
        <v>485360237</v>
      </c>
      <c r="E97" s="151">
        <f t="shared" ref="E97:M97" si="64">SUM(E37)</f>
        <v>499921044.11000001</v>
      </c>
      <c r="F97" s="151">
        <f t="shared" si="64"/>
        <v>514918675.43330002</v>
      </c>
      <c r="G97" s="151">
        <f t="shared" si="64"/>
        <v>530366235.69629902</v>
      </c>
      <c r="H97" s="151">
        <f t="shared" si="64"/>
        <v>546277222.76718795</v>
      </c>
      <c r="I97" s="151">
        <f t="shared" si="64"/>
        <v>562665539.45020366</v>
      </c>
      <c r="J97" s="151">
        <f t="shared" si="64"/>
        <v>579545505.63370979</v>
      </c>
      <c r="K97" s="151">
        <f t="shared" si="64"/>
        <v>596931870.80272114</v>
      </c>
      <c r="L97" s="151">
        <f t="shared" si="64"/>
        <v>614839826.92680275</v>
      </c>
      <c r="M97" s="151">
        <f t="shared" si="64"/>
        <v>633285021.73460686</v>
      </c>
    </row>
    <row r="98" spans="1:13">
      <c r="A98" s="10"/>
      <c r="B98" s="11" t="s">
        <v>501</v>
      </c>
      <c r="C98" s="151"/>
      <c r="D98" s="151">
        <v>0</v>
      </c>
      <c r="E98" s="151">
        <v>624752869</v>
      </c>
      <c r="F98" s="151">
        <v>3000000000</v>
      </c>
      <c r="G98" s="151">
        <v>2000000000</v>
      </c>
      <c r="H98" s="151"/>
      <c r="I98" s="151"/>
      <c r="J98" s="151"/>
      <c r="K98" s="151"/>
      <c r="L98" s="151"/>
      <c r="M98" s="151"/>
    </row>
    <row r="99" spans="1:13">
      <c r="A99" s="10"/>
      <c r="B99" s="11" t="s">
        <v>529</v>
      </c>
      <c r="C99" s="151"/>
      <c r="D99" s="151">
        <f>SUM(D84)</f>
        <v>390956418</v>
      </c>
      <c r="E99" s="151">
        <f t="shared" ref="E99:M99" si="65">SUM(E84)</f>
        <v>402685110.54000002</v>
      </c>
      <c r="F99" s="151">
        <f t="shared" si="65"/>
        <v>414765663.85620004</v>
      </c>
      <c r="G99" s="151">
        <f t="shared" si="65"/>
        <v>427208633.77188605</v>
      </c>
      <c r="H99" s="151">
        <f t="shared" si="65"/>
        <v>440024892.78504264</v>
      </c>
      <c r="I99" s="151">
        <f t="shared" si="65"/>
        <v>453225639.56859392</v>
      </c>
      <c r="J99" s="151">
        <f t="shared" si="65"/>
        <v>466822408.75565177</v>
      </c>
      <c r="K99" s="151">
        <f t="shared" si="65"/>
        <v>480827081.01832134</v>
      </c>
      <c r="L99" s="151">
        <f t="shared" si="65"/>
        <v>495251893.44887102</v>
      </c>
      <c r="M99" s="151">
        <f t="shared" si="65"/>
        <v>510109450.25233716</v>
      </c>
    </row>
    <row r="100" spans="1:13">
      <c r="A100" s="10"/>
      <c r="B100" s="11" t="s">
        <v>503</v>
      </c>
      <c r="C100" s="151"/>
      <c r="D100" s="151">
        <f t="shared" ref="D100:M100" si="66">SUM(D15)</f>
        <v>467058790</v>
      </c>
      <c r="E100" s="151">
        <f t="shared" si="66"/>
        <v>481070553.69999999</v>
      </c>
      <c r="F100" s="151">
        <f t="shared" si="66"/>
        <v>495502670.31099999</v>
      </c>
      <c r="G100" s="151">
        <f t="shared" si="66"/>
        <v>510367750.42032999</v>
      </c>
      <c r="H100" s="151">
        <f t="shared" si="66"/>
        <v>525678782.93293989</v>
      </c>
      <c r="I100" s="151">
        <f t="shared" si="66"/>
        <v>541449146.42092812</v>
      </c>
      <c r="J100" s="151">
        <f t="shared" si="66"/>
        <v>557692620.81355596</v>
      </c>
      <c r="K100" s="151">
        <f t="shared" si="66"/>
        <v>574423399.43796265</v>
      </c>
      <c r="L100" s="151">
        <f t="shared" si="66"/>
        <v>591656101.42110157</v>
      </c>
      <c r="M100" s="151">
        <f t="shared" si="66"/>
        <v>609405784.46373463</v>
      </c>
    </row>
    <row r="101" spans="1:13">
      <c r="A101" s="10"/>
      <c r="B101" s="11" t="s">
        <v>536</v>
      </c>
      <c r="C101" s="151"/>
      <c r="D101" s="151">
        <v>4375247131</v>
      </c>
      <c r="E101" s="151">
        <v>0</v>
      </c>
      <c r="F101" s="151">
        <v>0</v>
      </c>
      <c r="G101" s="151">
        <v>0</v>
      </c>
      <c r="H101" s="151">
        <v>0</v>
      </c>
      <c r="I101" s="151">
        <v>0</v>
      </c>
      <c r="J101" s="151">
        <v>0</v>
      </c>
      <c r="K101" s="151">
        <v>0</v>
      </c>
      <c r="L101" s="151">
        <v>0</v>
      </c>
      <c r="M101" s="151">
        <v>0</v>
      </c>
    </row>
    <row r="102" spans="1:13">
      <c r="A102" s="10" t="s">
        <v>188</v>
      </c>
      <c r="B102" s="204" t="s">
        <v>507</v>
      </c>
      <c r="C102" s="151"/>
      <c r="D102" s="203">
        <f>SUM(D103)</f>
        <v>876372955</v>
      </c>
      <c r="E102" s="203">
        <f t="shared" ref="E102:M102" si="67">SUM(E103)</f>
        <v>902664143.64999998</v>
      </c>
      <c r="F102" s="203">
        <f t="shared" si="67"/>
        <v>929744067.95949996</v>
      </c>
      <c r="G102" s="203">
        <f t="shared" si="67"/>
        <v>957636389.99828494</v>
      </c>
      <c r="H102" s="203">
        <f t="shared" si="67"/>
        <v>986365481.69823349</v>
      </c>
      <c r="I102" s="203">
        <f t="shared" si="67"/>
        <v>1015956446.1491805</v>
      </c>
      <c r="J102" s="203">
        <f t="shared" si="67"/>
        <v>1046435139.533656</v>
      </c>
      <c r="K102" s="203">
        <f t="shared" si="67"/>
        <v>1077828193.7196658</v>
      </c>
      <c r="L102" s="203">
        <f t="shared" si="67"/>
        <v>1110163039.5312557</v>
      </c>
      <c r="M102" s="203">
        <f t="shared" si="67"/>
        <v>1143467930.7171934</v>
      </c>
    </row>
    <row r="103" spans="1:13">
      <c r="A103" s="10"/>
      <c r="B103" s="11" t="s">
        <v>522</v>
      </c>
      <c r="C103" s="151"/>
      <c r="D103" s="151">
        <v>876372955</v>
      </c>
      <c r="E103" s="151">
        <f>SUM(D103*E2)</f>
        <v>902664143.64999998</v>
      </c>
      <c r="F103" s="151">
        <f t="shared" ref="F103:M103" si="68">SUM(E103*F2)</f>
        <v>929744067.95949996</v>
      </c>
      <c r="G103" s="151">
        <f t="shared" si="68"/>
        <v>957636389.99828494</v>
      </c>
      <c r="H103" s="151">
        <f t="shared" si="68"/>
        <v>986365481.69823349</v>
      </c>
      <c r="I103" s="151">
        <f t="shared" si="68"/>
        <v>1015956446.1491805</v>
      </c>
      <c r="J103" s="151">
        <f t="shared" si="68"/>
        <v>1046435139.533656</v>
      </c>
      <c r="K103" s="151">
        <f t="shared" si="68"/>
        <v>1077828193.7196658</v>
      </c>
      <c r="L103" s="151">
        <f t="shared" si="68"/>
        <v>1110163039.5312557</v>
      </c>
      <c r="M103" s="151">
        <f t="shared" si="68"/>
        <v>1143467930.7171934</v>
      </c>
    </row>
    <row r="104" spans="1:13">
      <c r="A104" s="10" t="s">
        <v>189</v>
      </c>
      <c r="B104" s="204" t="s">
        <v>506</v>
      </c>
      <c r="C104" s="151"/>
      <c r="D104" s="203">
        <f>SUM(D105:D107)</f>
        <v>1423698859.75</v>
      </c>
      <c r="E104" s="203">
        <f t="shared" ref="E104:M104" si="69">SUM(E105:E107)</f>
        <v>1466409825.5425</v>
      </c>
      <c r="F104" s="203">
        <f t="shared" si="69"/>
        <v>1778841957.0824413</v>
      </c>
      <c r="G104" s="203">
        <f t="shared" si="69"/>
        <v>15836371354.00378</v>
      </c>
      <c r="H104" s="203">
        <f t="shared" si="69"/>
        <v>1602385609.4355793</v>
      </c>
      <c r="I104" s="203">
        <f t="shared" si="69"/>
        <v>1650457177.718647</v>
      </c>
      <c r="J104" s="203">
        <f t="shared" si="69"/>
        <v>1699970893.0502062</v>
      </c>
      <c r="K104" s="203">
        <f t="shared" si="69"/>
        <v>1750970019.8417125</v>
      </c>
      <c r="L104" s="203">
        <f t="shared" si="69"/>
        <v>1803499120.436964</v>
      </c>
      <c r="M104" s="203">
        <f t="shared" si="69"/>
        <v>1857604094.0500731</v>
      </c>
    </row>
    <row r="105" spans="1:13">
      <c r="A105" s="10"/>
      <c r="B105" s="11" t="s">
        <v>527</v>
      </c>
      <c r="C105" s="151"/>
      <c r="D105" s="151">
        <f>SUM(D35*0.35)</f>
        <v>586228942.25</v>
      </c>
      <c r="E105" s="151">
        <f t="shared" ref="E105:M105" si="70">SUM(E35*0.35)</f>
        <v>603815810.51749992</v>
      </c>
      <c r="F105" s="151">
        <f t="shared" si="70"/>
        <v>621930284.83302498</v>
      </c>
      <c r="G105" s="151">
        <f t="shared" si="70"/>
        <v>640588193.37801576</v>
      </c>
      <c r="H105" s="151">
        <f t="shared" si="70"/>
        <v>659805839.17935622</v>
      </c>
      <c r="I105" s="151">
        <f t="shared" si="70"/>
        <v>679600014.35473692</v>
      </c>
      <c r="J105" s="151">
        <f t="shared" si="70"/>
        <v>699988014.78537905</v>
      </c>
      <c r="K105" s="151">
        <f t="shared" si="70"/>
        <v>720987655.22894049</v>
      </c>
      <c r="L105" s="151">
        <f t="shared" si="70"/>
        <v>742617284.88580871</v>
      </c>
      <c r="M105" s="151">
        <f t="shared" si="70"/>
        <v>764895803.43238306</v>
      </c>
    </row>
    <row r="106" spans="1:13">
      <c r="A106" s="10"/>
      <c r="B106" s="11" t="s">
        <v>528</v>
      </c>
      <c r="C106" s="151"/>
      <c r="D106" s="151">
        <f>SUM(D35*0.5)</f>
        <v>837469917.5</v>
      </c>
      <c r="E106" s="151">
        <f t="shared" ref="E106:M106" si="71">SUM(E35*0.5)</f>
        <v>862594015.02499998</v>
      </c>
      <c r="F106" s="151">
        <f t="shared" si="71"/>
        <v>888471835.47574997</v>
      </c>
      <c r="G106" s="151">
        <f t="shared" si="71"/>
        <v>915125990.54002249</v>
      </c>
      <c r="H106" s="151">
        <f t="shared" si="71"/>
        <v>942579770.2562232</v>
      </c>
      <c r="I106" s="151">
        <f t="shared" si="71"/>
        <v>970857163.36390996</v>
      </c>
      <c r="J106" s="151">
        <f t="shared" si="71"/>
        <v>999982878.26482725</v>
      </c>
      <c r="K106" s="151">
        <f t="shared" si="71"/>
        <v>1029982364.6127721</v>
      </c>
      <c r="L106" s="151">
        <f t="shared" si="71"/>
        <v>1060881835.5511553</v>
      </c>
      <c r="M106" s="151">
        <f t="shared" si="71"/>
        <v>1092708290.6176901</v>
      </c>
    </row>
    <row r="107" spans="1:13">
      <c r="A107" s="10"/>
      <c r="B107" s="11" t="s">
        <v>501</v>
      </c>
      <c r="C107" s="151"/>
      <c r="D107" s="151">
        <v>0</v>
      </c>
      <c r="E107" s="151">
        <v>0</v>
      </c>
      <c r="F107" s="151">
        <v>268439836.77366638</v>
      </c>
      <c r="G107" s="151">
        <v>14280657170.085741</v>
      </c>
      <c r="H107" s="151">
        <v>0</v>
      </c>
      <c r="I107" s="151">
        <v>0</v>
      </c>
      <c r="J107" s="151">
        <v>0</v>
      </c>
      <c r="K107" s="151">
        <v>0</v>
      </c>
      <c r="L107" s="151">
        <v>0</v>
      </c>
      <c r="M107" s="151">
        <v>0</v>
      </c>
    </row>
    <row r="108" spans="1:13">
      <c r="A108" s="10" t="s">
        <v>190</v>
      </c>
      <c r="B108" s="204" t="s">
        <v>488</v>
      </c>
      <c r="C108" s="151"/>
      <c r="D108" s="203">
        <f>SUM(D109:D110)</f>
        <v>510514553</v>
      </c>
      <c r="E108" s="203">
        <f t="shared" ref="E108:M108" si="72">SUM(E109:E110)</f>
        <v>525829989.59000003</v>
      </c>
      <c r="F108" s="203">
        <f t="shared" si="72"/>
        <v>541604889.27769995</v>
      </c>
      <c r="G108" s="203">
        <f t="shared" si="72"/>
        <v>557853035.95603108</v>
      </c>
      <c r="H108" s="203">
        <f t="shared" si="72"/>
        <v>574588627.03471196</v>
      </c>
      <c r="I108" s="203">
        <f t="shared" si="72"/>
        <v>591826285.84575331</v>
      </c>
      <c r="J108" s="203">
        <f t="shared" si="72"/>
        <v>609581074.42112601</v>
      </c>
      <c r="K108" s="203">
        <f t="shared" si="72"/>
        <v>627868506.65375972</v>
      </c>
      <c r="L108" s="203">
        <f t="shared" si="72"/>
        <v>646704561.85337257</v>
      </c>
      <c r="M108" s="203">
        <f t="shared" si="72"/>
        <v>666105698.70897377</v>
      </c>
    </row>
    <row r="109" spans="1:13">
      <c r="A109" s="10"/>
      <c r="B109" s="11" t="s">
        <v>504</v>
      </c>
      <c r="C109" s="151"/>
      <c r="D109" s="151">
        <f>171054668</f>
        <v>171054668</v>
      </c>
      <c r="E109" s="151">
        <f t="shared" ref="E109:M109" si="73">SUM(D109*E2)</f>
        <v>176186308.03999999</v>
      </c>
      <c r="F109" s="151">
        <f t="shared" si="73"/>
        <v>181471897.28119999</v>
      </c>
      <c r="G109" s="151">
        <f t="shared" si="73"/>
        <v>186916054.19963598</v>
      </c>
      <c r="H109" s="151">
        <f t="shared" si="73"/>
        <v>192523535.82562506</v>
      </c>
      <c r="I109" s="151">
        <f t="shared" si="73"/>
        <v>198299241.90039381</v>
      </c>
      <c r="J109" s="151">
        <f t="shared" si="73"/>
        <v>204248219.15740564</v>
      </c>
      <c r="K109" s="151">
        <f t="shared" si="73"/>
        <v>210375665.73212782</v>
      </c>
      <c r="L109" s="151">
        <f t="shared" si="73"/>
        <v>216686935.70409167</v>
      </c>
      <c r="M109" s="151">
        <f t="shared" si="73"/>
        <v>223187543.77521443</v>
      </c>
    </row>
    <row r="110" spans="1:13">
      <c r="A110" s="10"/>
      <c r="B110" s="11" t="s">
        <v>505</v>
      </c>
      <c r="C110" s="151"/>
      <c r="D110" s="151">
        <v>339459885</v>
      </c>
      <c r="E110" s="151">
        <f t="shared" ref="E110:M110" si="74">SUM(D110*E2)</f>
        <v>349643681.55000001</v>
      </c>
      <c r="F110" s="151">
        <f t="shared" si="74"/>
        <v>360132991.99650002</v>
      </c>
      <c r="G110" s="151">
        <f t="shared" si="74"/>
        <v>370936981.75639504</v>
      </c>
      <c r="H110" s="151">
        <f t="shared" si="74"/>
        <v>382065091.20908689</v>
      </c>
      <c r="I110" s="151">
        <f t="shared" si="74"/>
        <v>393527043.94535953</v>
      </c>
      <c r="J110" s="151">
        <f t="shared" si="74"/>
        <v>405332855.26372033</v>
      </c>
      <c r="K110" s="151">
        <f t="shared" si="74"/>
        <v>417492840.92163193</v>
      </c>
      <c r="L110" s="151">
        <f t="shared" si="74"/>
        <v>430017626.14928091</v>
      </c>
      <c r="M110" s="151">
        <f t="shared" si="74"/>
        <v>442918154.93375933</v>
      </c>
    </row>
    <row r="111" spans="1:13">
      <c r="A111" s="10" t="s">
        <v>191</v>
      </c>
      <c r="B111" s="204" t="s">
        <v>511</v>
      </c>
      <c r="C111" s="151"/>
      <c r="D111" s="203">
        <f>SUM(D112:D113)</f>
        <v>542515556</v>
      </c>
      <c r="E111" s="203">
        <f t="shared" ref="E111:M111" si="75">SUM(D111*E2)</f>
        <v>558791022.68000007</v>
      </c>
      <c r="F111" s="203">
        <f t="shared" si="75"/>
        <v>575554753.36040008</v>
      </c>
      <c r="G111" s="203">
        <f t="shared" si="75"/>
        <v>592821395.96121204</v>
      </c>
      <c r="H111" s="151">
        <f t="shared" si="75"/>
        <v>610606037.84004843</v>
      </c>
      <c r="I111" s="151">
        <f t="shared" si="75"/>
        <v>628924218.97524989</v>
      </c>
      <c r="J111" s="151">
        <f t="shared" si="75"/>
        <v>647791945.54450738</v>
      </c>
      <c r="K111" s="151">
        <f t="shared" si="75"/>
        <v>667225703.91084266</v>
      </c>
      <c r="L111" s="151">
        <f t="shared" si="75"/>
        <v>687242475.02816796</v>
      </c>
      <c r="M111" s="151">
        <f t="shared" si="75"/>
        <v>707859749.27901304</v>
      </c>
    </row>
    <row r="112" spans="1:13">
      <c r="A112" s="10"/>
      <c r="B112" s="11" t="s">
        <v>509</v>
      </c>
      <c r="C112" s="151"/>
      <c r="D112" s="151">
        <f>128291000</f>
        <v>128291000</v>
      </c>
      <c r="E112" s="151">
        <f t="shared" ref="E112:M112" si="76">SUM(D112*E2)</f>
        <v>132139730</v>
      </c>
      <c r="F112" s="151">
        <f t="shared" si="76"/>
        <v>136103921.90000001</v>
      </c>
      <c r="G112" s="151">
        <f t="shared" si="76"/>
        <v>140187039.55700001</v>
      </c>
      <c r="H112" s="151">
        <f t="shared" si="76"/>
        <v>144392650.74371001</v>
      </c>
      <c r="I112" s="151">
        <f t="shared" si="76"/>
        <v>148724430.26602131</v>
      </c>
      <c r="J112" s="151">
        <f t="shared" si="76"/>
        <v>153186163.17400196</v>
      </c>
      <c r="K112" s="151">
        <f t="shared" si="76"/>
        <v>157781748.06922203</v>
      </c>
      <c r="L112" s="151">
        <f t="shared" si="76"/>
        <v>162515200.51129869</v>
      </c>
      <c r="M112" s="151">
        <f t="shared" si="76"/>
        <v>167390656.52663764</v>
      </c>
    </row>
    <row r="113" spans="1:13">
      <c r="A113" s="10"/>
      <c r="B113" s="11" t="s">
        <v>510</v>
      </c>
      <c r="C113" s="151"/>
      <c r="D113" s="151">
        <v>414224556</v>
      </c>
      <c r="E113" s="151">
        <f t="shared" ref="E113:M113" si="77">SUM(D113*E2)</f>
        <v>426651292.68000001</v>
      </c>
      <c r="F113" s="151">
        <f t="shared" si="77"/>
        <v>439450831.46040004</v>
      </c>
      <c r="G113" s="151">
        <f t="shared" si="77"/>
        <v>452634356.40421206</v>
      </c>
      <c r="H113" s="151">
        <f t="shared" si="77"/>
        <v>466213387.09633845</v>
      </c>
      <c r="I113" s="151">
        <f t="shared" si="77"/>
        <v>480199788.70922863</v>
      </c>
      <c r="J113" s="151">
        <f t="shared" si="77"/>
        <v>494605782.37050551</v>
      </c>
      <c r="K113" s="151">
        <f t="shared" si="77"/>
        <v>509443955.84162068</v>
      </c>
      <c r="L113" s="151">
        <f t="shared" si="77"/>
        <v>524727274.51686931</v>
      </c>
      <c r="M113" s="151">
        <f t="shared" si="77"/>
        <v>540469092.75237536</v>
      </c>
    </row>
    <row r="114" spans="1:13">
      <c r="A114" s="10" t="s">
        <v>193</v>
      </c>
      <c r="B114" s="204" t="s">
        <v>489</v>
      </c>
      <c r="C114" s="151"/>
      <c r="D114" s="203">
        <f t="shared" ref="D114:M114" si="78">SUM(D115+D120+D123+D127+D132+D135)</f>
        <v>26467660077.260021</v>
      </c>
      <c r="E114" s="203">
        <f t="shared" si="78"/>
        <v>22866235582.762802</v>
      </c>
      <c r="F114" s="203">
        <f t="shared" si="78"/>
        <v>20798727990.962891</v>
      </c>
      <c r="G114" s="203">
        <f t="shared" si="78"/>
        <v>10038003427.82966</v>
      </c>
      <c r="H114" s="203">
        <f t="shared" si="78"/>
        <v>27252481946.00275</v>
      </c>
      <c r="I114" s="203">
        <f t="shared" si="78"/>
        <v>28067568411.030647</v>
      </c>
      <c r="J114" s="203">
        <f t="shared" si="78"/>
        <v>28907007948.563686</v>
      </c>
      <c r="K114" s="203">
        <f t="shared" si="78"/>
        <v>29771527172.846413</v>
      </c>
      <c r="L114" s="203">
        <f t="shared" si="78"/>
        <v>30661873532.909054</v>
      </c>
      <c r="M114" s="203">
        <f t="shared" si="78"/>
        <v>31578819137.651867</v>
      </c>
    </row>
    <row r="115" spans="1:13">
      <c r="A115" s="10"/>
      <c r="B115" s="204" t="s">
        <v>492</v>
      </c>
      <c r="C115" s="151"/>
      <c r="D115" s="203">
        <f>SUM(D116:D119)</f>
        <v>19335564258.5</v>
      </c>
      <c r="E115" s="203">
        <f t="shared" ref="E115:M115" si="79">SUM(E116:E119)</f>
        <v>14357219665</v>
      </c>
      <c r="F115" s="203">
        <f t="shared" si="79"/>
        <v>12078344594</v>
      </c>
      <c r="G115" s="203">
        <f t="shared" si="79"/>
        <v>1100000000</v>
      </c>
      <c r="H115" s="203">
        <f t="shared" si="79"/>
        <v>0</v>
      </c>
      <c r="I115" s="203">
        <f t="shared" si="79"/>
        <v>0</v>
      </c>
      <c r="J115" s="203">
        <f t="shared" si="79"/>
        <v>0</v>
      </c>
      <c r="K115" s="203">
        <f t="shared" si="79"/>
        <v>0</v>
      </c>
      <c r="L115" s="203">
        <f t="shared" si="79"/>
        <v>0</v>
      </c>
      <c r="M115" s="203">
        <f t="shared" si="79"/>
        <v>0</v>
      </c>
    </row>
    <row r="116" spans="1:13">
      <c r="A116" s="10"/>
      <c r="B116" s="11" t="s">
        <v>512</v>
      </c>
      <c r="C116" s="151"/>
      <c r="D116" s="151">
        <v>600000000</v>
      </c>
      <c r="E116" s="151">
        <v>600000000</v>
      </c>
      <c r="F116" s="151">
        <v>600000000</v>
      </c>
      <c r="G116" s="151">
        <v>600000000</v>
      </c>
      <c r="H116" s="151">
        <v>0</v>
      </c>
      <c r="I116" s="151">
        <v>0</v>
      </c>
      <c r="J116" s="151">
        <v>0</v>
      </c>
      <c r="K116" s="151">
        <v>0</v>
      </c>
      <c r="L116" s="151">
        <v>0</v>
      </c>
      <c r="M116" s="151">
        <v>0</v>
      </c>
    </row>
    <row r="117" spans="1:13">
      <c r="A117" s="10"/>
      <c r="B117" s="11" t="s">
        <v>501</v>
      </c>
      <c r="C117" s="151"/>
      <c r="D117" s="151">
        <v>18235564258.5</v>
      </c>
      <c r="E117" s="151">
        <v>13257219665</v>
      </c>
      <c r="F117" s="151">
        <v>10978344594</v>
      </c>
      <c r="G117" s="151">
        <v>0</v>
      </c>
      <c r="H117" s="151">
        <v>0</v>
      </c>
      <c r="I117" s="151">
        <v>0</v>
      </c>
      <c r="J117" s="151">
        <v>0</v>
      </c>
      <c r="K117" s="151">
        <v>0</v>
      </c>
      <c r="L117" s="151">
        <v>0</v>
      </c>
      <c r="M117" s="151">
        <v>0</v>
      </c>
    </row>
    <row r="118" spans="1:13">
      <c r="A118" s="10"/>
      <c r="B118" s="11" t="s">
        <v>503</v>
      </c>
      <c r="C118" s="151"/>
      <c r="D118" s="151">
        <v>0</v>
      </c>
      <c r="E118" s="151">
        <v>0</v>
      </c>
      <c r="F118" s="151">
        <v>0</v>
      </c>
      <c r="G118" s="151">
        <v>0</v>
      </c>
      <c r="H118" s="151">
        <v>0</v>
      </c>
      <c r="I118" s="151">
        <v>0</v>
      </c>
      <c r="J118" s="151">
        <v>0</v>
      </c>
      <c r="K118" s="151">
        <v>0</v>
      </c>
      <c r="L118" s="151">
        <v>0</v>
      </c>
      <c r="M118" s="151">
        <v>0</v>
      </c>
    </row>
    <row r="119" spans="1:13">
      <c r="A119" s="10"/>
      <c r="B119" s="11" t="s">
        <v>522</v>
      </c>
      <c r="C119" s="151"/>
      <c r="D119" s="151">
        <v>500000000</v>
      </c>
      <c r="E119" s="151">
        <v>500000000</v>
      </c>
      <c r="F119" s="151">
        <v>500000000</v>
      </c>
      <c r="G119" s="151">
        <v>500000000</v>
      </c>
      <c r="H119" s="151"/>
      <c r="I119" s="151"/>
      <c r="J119" s="151"/>
      <c r="K119" s="151"/>
      <c r="L119" s="151"/>
      <c r="M119" s="151"/>
    </row>
    <row r="120" spans="1:13">
      <c r="A120" s="10" t="s">
        <v>494</v>
      </c>
      <c r="B120" s="204" t="s">
        <v>491</v>
      </c>
      <c r="C120" s="151"/>
      <c r="D120" s="203">
        <f>SUM(D121:D122)</f>
        <v>0</v>
      </c>
      <c r="E120" s="203">
        <f t="shared" ref="E120:M120" si="80">SUM(E121:E122)</f>
        <v>0</v>
      </c>
      <c r="F120" s="203">
        <f t="shared" si="80"/>
        <v>0</v>
      </c>
      <c r="G120" s="203">
        <f t="shared" si="80"/>
        <v>0</v>
      </c>
      <c r="H120" s="203">
        <f t="shared" si="80"/>
        <v>0</v>
      </c>
      <c r="I120" s="203">
        <f t="shared" si="80"/>
        <v>0</v>
      </c>
      <c r="J120" s="203">
        <f t="shared" si="80"/>
        <v>0</v>
      </c>
      <c r="K120" s="203">
        <f t="shared" si="80"/>
        <v>0</v>
      </c>
      <c r="L120" s="203">
        <f t="shared" si="80"/>
        <v>0</v>
      </c>
      <c r="M120" s="203">
        <f t="shared" si="80"/>
        <v>0</v>
      </c>
    </row>
    <row r="121" spans="1:13">
      <c r="A121" s="10"/>
      <c r="B121" s="11" t="s">
        <v>512</v>
      </c>
      <c r="C121" s="151"/>
      <c r="D121" s="151">
        <v>0</v>
      </c>
      <c r="E121" s="151">
        <v>0</v>
      </c>
      <c r="F121" s="151">
        <v>0</v>
      </c>
      <c r="G121" s="151">
        <v>0</v>
      </c>
      <c r="H121" s="151">
        <v>0</v>
      </c>
      <c r="I121" s="151">
        <v>0</v>
      </c>
      <c r="J121" s="151">
        <v>0</v>
      </c>
      <c r="K121" s="151">
        <v>0</v>
      </c>
      <c r="L121" s="151">
        <v>0</v>
      </c>
      <c r="M121" s="151">
        <v>0</v>
      </c>
    </row>
    <row r="122" spans="1:13">
      <c r="A122" s="10"/>
      <c r="B122" s="11" t="s">
        <v>501</v>
      </c>
      <c r="C122" s="151"/>
      <c r="D122" s="151">
        <v>0</v>
      </c>
      <c r="E122" s="151">
        <v>0</v>
      </c>
      <c r="F122" s="151">
        <v>0</v>
      </c>
      <c r="G122" s="151">
        <v>0</v>
      </c>
      <c r="H122" s="151">
        <v>0</v>
      </c>
      <c r="I122" s="151">
        <v>0</v>
      </c>
      <c r="J122" s="151">
        <v>0</v>
      </c>
      <c r="K122" s="151">
        <v>0</v>
      </c>
      <c r="L122" s="151">
        <v>0</v>
      </c>
      <c r="M122" s="151">
        <v>0</v>
      </c>
    </row>
    <row r="123" spans="1:13">
      <c r="A123" s="10" t="s">
        <v>495</v>
      </c>
      <c r="B123" s="204" t="s">
        <v>493</v>
      </c>
      <c r="C123" s="151"/>
      <c r="D123" s="203">
        <f>SUM(D124:D126)</f>
        <v>2158203764.7600002</v>
      </c>
      <c r="E123" s="203">
        <f t="shared" ref="E123:M123" si="81">SUM(E124:E126)</f>
        <v>2222949877.7027998</v>
      </c>
      <c r="F123" s="203">
        <f t="shared" si="81"/>
        <v>2289638374.033884</v>
      </c>
      <c r="G123" s="203">
        <f t="shared" si="81"/>
        <v>2358327525.2549009</v>
      </c>
      <c r="H123" s="203">
        <f t="shared" si="81"/>
        <v>2429077351.0125475</v>
      </c>
      <c r="I123" s="203">
        <f t="shared" si="81"/>
        <v>2501949671.5429239</v>
      </c>
      <c r="J123" s="203">
        <f t="shared" si="81"/>
        <v>2577008161.6892118</v>
      </c>
      <c r="K123" s="203">
        <f t="shared" si="81"/>
        <v>2654318406.5398884</v>
      </c>
      <c r="L123" s="203">
        <f t="shared" si="81"/>
        <v>2733947958.7360849</v>
      </c>
      <c r="M123" s="203">
        <f t="shared" si="81"/>
        <v>2815966397.4981675</v>
      </c>
    </row>
    <row r="124" spans="1:13">
      <c r="A124" s="10"/>
      <c r="B124" s="11" t="s">
        <v>512</v>
      </c>
      <c r="C124" s="151"/>
      <c r="D124" s="151">
        <f>100000000+100000000</f>
        <v>200000000</v>
      </c>
      <c r="E124" s="151">
        <f t="shared" ref="E124:M124" si="82">SUM(D124*E2)</f>
        <v>206000000</v>
      </c>
      <c r="F124" s="151">
        <f t="shared" si="82"/>
        <v>212180000</v>
      </c>
      <c r="G124" s="151">
        <f t="shared" si="82"/>
        <v>218545400</v>
      </c>
      <c r="H124" s="151">
        <f t="shared" si="82"/>
        <v>225101762</v>
      </c>
      <c r="I124" s="151">
        <f t="shared" si="82"/>
        <v>231854814.86000001</v>
      </c>
      <c r="J124" s="151">
        <f t="shared" si="82"/>
        <v>238810459.30580002</v>
      </c>
      <c r="K124" s="151">
        <f t="shared" si="82"/>
        <v>245974773.08497402</v>
      </c>
      <c r="L124" s="151">
        <f t="shared" si="82"/>
        <v>253354016.27752325</v>
      </c>
      <c r="M124" s="151">
        <f t="shared" si="82"/>
        <v>260954636.76584896</v>
      </c>
    </row>
    <row r="125" spans="1:13">
      <c r="A125" s="10"/>
      <c r="B125" s="11" t="s">
        <v>513</v>
      </c>
      <c r="C125" s="151"/>
      <c r="D125" s="151">
        <v>1359326065</v>
      </c>
      <c r="E125" s="151">
        <f t="shared" ref="E125:M125" si="83">SUM(D125*E2)</f>
        <v>1400105846.95</v>
      </c>
      <c r="F125" s="151">
        <f t="shared" si="83"/>
        <v>1442109022.3585</v>
      </c>
      <c r="G125" s="151">
        <f t="shared" si="83"/>
        <v>1485372293.0292552</v>
      </c>
      <c r="H125" s="151">
        <f t="shared" si="83"/>
        <v>1529933461.8201327</v>
      </c>
      <c r="I125" s="151">
        <f t="shared" si="83"/>
        <v>1575831465.6747367</v>
      </c>
      <c r="J125" s="151">
        <f t="shared" si="83"/>
        <v>1623106409.644979</v>
      </c>
      <c r="K125" s="151">
        <f t="shared" si="83"/>
        <v>1671799601.9343283</v>
      </c>
      <c r="L125" s="151">
        <f t="shared" si="83"/>
        <v>1721953589.9923582</v>
      </c>
      <c r="M125" s="151">
        <f t="shared" si="83"/>
        <v>1773612197.6921289</v>
      </c>
    </row>
    <row r="126" spans="1:13">
      <c r="A126" s="10"/>
      <c r="B126" s="11" t="s">
        <v>501</v>
      </c>
      <c r="C126" s="151"/>
      <c r="D126" s="151">
        <f>SUM(D83*0.03)</f>
        <v>598877699.75999999</v>
      </c>
      <c r="E126" s="151">
        <f t="shared" ref="E126:M126" si="84">SUM(E83*0.03)</f>
        <v>616844030.75279999</v>
      </c>
      <c r="F126" s="151">
        <f t="shared" si="84"/>
        <v>635349351.67538404</v>
      </c>
      <c r="G126" s="151">
        <f t="shared" si="84"/>
        <v>654409832.22564554</v>
      </c>
      <c r="H126" s="151">
        <f t="shared" si="84"/>
        <v>674042127.192415</v>
      </c>
      <c r="I126" s="151">
        <f t="shared" si="84"/>
        <v>694263391.00818753</v>
      </c>
      <c r="J126" s="151">
        <f t="shared" si="84"/>
        <v>715091292.73843312</v>
      </c>
      <c r="K126" s="151">
        <f t="shared" si="84"/>
        <v>736544031.52058613</v>
      </c>
      <c r="L126" s="151">
        <f t="shared" si="84"/>
        <v>758640352.46620369</v>
      </c>
      <c r="M126" s="151">
        <f t="shared" si="84"/>
        <v>781399563.04018986</v>
      </c>
    </row>
    <row r="127" spans="1:13">
      <c r="A127" s="10" t="s">
        <v>496</v>
      </c>
      <c r="B127" s="204" t="s">
        <v>497</v>
      </c>
      <c r="C127" s="151"/>
      <c r="D127" s="203">
        <f>SUM(D128:D131)</f>
        <v>2206584898.0000181</v>
      </c>
      <c r="E127" s="203">
        <f t="shared" ref="E127:M127" si="85">SUM(E128:E131)</f>
        <v>2270655697.119998</v>
      </c>
      <c r="F127" s="203">
        <f t="shared" si="85"/>
        <v>1836563550.3008046</v>
      </c>
      <c r="G127" s="203">
        <f t="shared" si="85"/>
        <v>1904360166.3677135</v>
      </c>
      <c r="H127" s="203">
        <f t="shared" si="85"/>
        <v>2680565965.1237068</v>
      </c>
      <c r="I127" s="203">
        <f t="shared" si="85"/>
        <v>2807846217.5852346</v>
      </c>
      <c r="J127" s="203">
        <f t="shared" si="85"/>
        <v>2938845357.8549089</v>
      </c>
      <c r="K127" s="203">
        <f t="shared" si="85"/>
        <v>3073670971.776371</v>
      </c>
      <c r="L127" s="203">
        <f t="shared" si="85"/>
        <v>3212433713.5369081</v>
      </c>
      <c r="M127" s="203">
        <f t="shared" si="85"/>
        <v>3355247391.3485575</v>
      </c>
    </row>
    <row r="128" spans="1:13">
      <c r="A128" s="10"/>
      <c r="B128" s="11" t="s">
        <v>520</v>
      </c>
      <c r="C128" s="151"/>
      <c r="D128" s="151">
        <f>SUM(D8*0.1)</f>
        <v>457730390.70000005</v>
      </c>
      <c r="E128" s="151">
        <f t="shared" ref="E128:M128" si="86">SUM(E8*0.1)</f>
        <v>471462302.421</v>
      </c>
      <c r="F128" s="151">
        <f t="shared" si="86"/>
        <v>485606171.49363005</v>
      </c>
      <c r="G128" s="151">
        <f t="shared" si="86"/>
        <v>500174356.638439</v>
      </c>
      <c r="H128" s="151">
        <f t="shared" si="86"/>
        <v>515179587.33759212</v>
      </c>
      <c r="I128" s="151">
        <f t="shared" si="86"/>
        <v>530634974.95771992</v>
      </c>
      <c r="J128" s="151">
        <f t="shared" si="86"/>
        <v>546554024.20645154</v>
      </c>
      <c r="K128" s="151">
        <f t="shared" si="86"/>
        <v>562950644.93264508</v>
      </c>
      <c r="L128" s="151">
        <f t="shared" si="86"/>
        <v>579839164.28062439</v>
      </c>
      <c r="M128" s="151">
        <f t="shared" si="86"/>
        <v>597234339.20904315</v>
      </c>
    </row>
    <row r="129" spans="1:13">
      <c r="A129" s="10"/>
      <c r="B129" s="11" t="s">
        <v>521</v>
      </c>
      <c r="C129" s="151"/>
      <c r="D129" s="151">
        <f>SUM(D17)</f>
        <v>216823469</v>
      </c>
      <c r="E129" s="151">
        <f t="shared" ref="E129:M129" si="87">SUM(E17)</f>
        <v>223328173.06999999</v>
      </c>
      <c r="F129" s="151">
        <f t="shared" si="87"/>
        <v>230028018.26210001</v>
      </c>
      <c r="G129" s="151">
        <f t="shared" si="87"/>
        <v>236928858.80996302</v>
      </c>
      <c r="H129" s="151">
        <f t="shared" si="87"/>
        <v>244036724.5742619</v>
      </c>
      <c r="I129" s="151">
        <f t="shared" si="87"/>
        <v>251357826.31148976</v>
      </c>
      <c r="J129" s="151">
        <f t="shared" si="87"/>
        <v>258898561.10083446</v>
      </c>
      <c r="K129" s="151">
        <f t="shared" si="87"/>
        <v>266665517.9338595</v>
      </c>
      <c r="L129" s="151">
        <f t="shared" si="87"/>
        <v>274665483.47187531</v>
      </c>
      <c r="M129" s="151">
        <f t="shared" si="87"/>
        <v>282905447.9760316</v>
      </c>
    </row>
    <row r="130" spans="1:13">
      <c r="A130" s="10"/>
      <c r="B130" s="11" t="s">
        <v>512</v>
      </c>
      <c r="C130" s="151"/>
      <c r="D130" s="151">
        <v>500000000</v>
      </c>
      <c r="E130" s="151">
        <v>500000000</v>
      </c>
      <c r="F130" s="151">
        <v>0</v>
      </c>
      <c r="G130" s="151">
        <v>0</v>
      </c>
      <c r="H130" s="151">
        <v>0</v>
      </c>
      <c r="I130" s="151">
        <v>0</v>
      </c>
      <c r="J130" s="151">
        <v>0</v>
      </c>
      <c r="K130" s="151">
        <v>0</v>
      </c>
      <c r="L130" s="151">
        <v>0</v>
      </c>
      <c r="M130" s="151">
        <v>0</v>
      </c>
    </row>
    <row r="131" spans="1:13">
      <c r="A131" s="10"/>
      <c r="B131" s="11" t="s">
        <v>522</v>
      </c>
      <c r="C131" s="151"/>
      <c r="D131" s="151">
        <v>1032031038.3000183</v>
      </c>
      <c r="E131" s="151">
        <v>1075865221.6289978</v>
      </c>
      <c r="F131" s="151">
        <v>1120929360.5450745</v>
      </c>
      <c r="G131" s="151">
        <v>1167256950.9193115</v>
      </c>
      <c r="H131" s="151">
        <v>1921349653.211853</v>
      </c>
      <c r="I131" s="151">
        <v>2025853416.3160248</v>
      </c>
      <c r="J131" s="151">
        <v>2133392772.5476227</v>
      </c>
      <c r="K131" s="151">
        <v>2244054808.9098663</v>
      </c>
      <c r="L131" s="151">
        <v>2357929065.7844086</v>
      </c>
      <c r="M131" s="151">
        <v>2475107604.1634827</v>
      </c>
    </row>
    <row r="132" spans="1:13">
      <c r="A132" s="10" t="s">
        <v>498</v>
      </c>
      <c r="B132" s="204" t="s">
        <v>499</v>
      </c>
      <c r="C132" s="151"/>
      <c r="D132" s="203">
        <f>SUM(D133:D134)</f>
        <v>1104185243</v>
      </c>
      <c r="E132" s="203">
        <f t="shared" ref="E132:M132" si="88">SUM(E133:E134)</f>
        <v>1137310800.29</v>
      </c>
      <c r="F132" s="203">
        <f t="shared" si="88"/>
        <v>1171430124.2987001</v>
      </c>
      <c r="G132" s="203">
        <f t="shared" si="88"/>
        <v>1206573028.0276611</v>
      </c>
      <c r="H132" s="203">
        <f t="shared" si="88"/>
        <v>1242770218.8684909</v>
      </c>
      <c r="I132" s="203">
        <f t="shared" si="88"/>
        <v>1280053325.4345458</v>
      </c>
      <c r="J132" s="203">
        <f t="shared" si="88"/>
        <v>1318454925.1975822</v>
      </c>
      <c r="K132" s="203">
        <f t="shared" si="88"/>
        <v>1358008572.9535098</v>
      </c>
      <c r="L132" s="203">
        <f t="shared" si="88"/>
        <v>1398748830.1421151</v>
      </c>
      <c r="M132" s="203">
        <f t="shared" si="88"/>
        <v>1440711295.0463786</v>
      </c>
    </row>
    <row r="133" spans="1:13">
      <c r="A133" s="10"/>
      <c r="B133" s="11" t="s">
        <v>512</v>
      </c>
      <c r="C133" s="151"/>
      <c r="D133" s="151">
        <v>0</v>
      </c>
      <c r="E133" s="151">
        <v>0</v>
      </c>
      <c r="F133" s="151">
        <v>0</v>
      </c>
      <c r="G133" s="151">
        <v>0</v>
      </c>
      <c r="H133" s="151">
        <v>0</v>
      </c>
      <c r="I133" s="151">
        <v>0</v>
      </c>
      <c r="J133" s="151">
        <v>0</v>
      </c>
      <c r="K133" s="151">
        <v>0</v>
      </c>
      <c r="L133" s="151">
        <v>0</v>
      </c>
      <c r="M133" s="151">
        <v>0</v>
      </c>
    </row>
    <row r="134" spans="1:13">
      <c r="A134" s="10"/>
      <c r="B134" s="11" t="s">
        <v>514</v>
      </c>
      <c r="C134" s="151"/>
      <c r="D134" s="151">
        <v>1104185243</v>
      </c>
      <c r="E134" s="151">
        <f t="shared" ref="E134:M134" si="89">SUM(D134*E2)</f>
        <v>1137310800.29</v>
      </c>
      <c r="F134" s="151">
        <f t="shared" si="89"/>
        <v>1171430124.2987001</v>
      </c>
      <c r="G134" s="151">
        <f t="shared" si="89"/>
        <v>1206573028.0276611</v>
      </c>
      <c r="H134" s="151">
        <f t="shared" si="89"/>
        <v>1242770218.8684909</v>
      </c>
      <c r="I134" s="151">
        <f t="shared" si="89"/>
        <v>1280053325.4345458</v>
      </c>
      <c r="J134" s="151">
        <f t="shared" si="89"/>
        <v>1318454925.1975822</v>
      </c>
      <c r="K134" s="151">
        <f t="shared" si="89"/>
        <v>1358008572.9535098</v>
      </c>
      <c r="L134" s="151">
        <f t="shared" si="89"/>
        <v>1398748830.1421151</v>
      </c>
      <c r="M134" s="151">
        <f t="shared" si="89"/>
        <v>1440711295.0463786</v>
      </c>
    </row>
    <row r="135" spans="1:13">
      <c r="A135" s="10"/>
      <c r="B135" s="204" t="s">
        <v>515</v>
      </c>
      <c r="C135" s="151"/>
      <c r="D135" s="203">
        <f>SUM(D136:D138)</f>
        <v>1663121913</v>
      </c>
      <c r="E135" s="203">
        <f t="shared" ref="E135:M135" si="90">SUM(E136:E138)</f>
        <v>2878099542.6500001</v>
      </c>
      <c r="F135" s="203">
        <f t="shared" si="90"/>
        <v>3422751348.3295002</v>
      </c>
      <c r="G135" s="203">
        <f t="shared" si="90"/>
        <v>3468742708.1793852</v>
      </c>
      <c r="H135" s="203">
        <f t="shared" si="90"/>
        <v>20900068410.998005</v>
      </c>
      <c r="I135" s="203">
        <f t="shared" si="90"/>
        <v>21477719196.467945</v>
      </c>
      <c r="J135" s="203">
        <f t="shared" si="90"/>
        <v>22072699503.821983</v>
      </c>
      <c r="K135" s="203">
        <f t="shared" si="90"/>
        <v>22685529221.576645</v>
      </c>
      <c r="L135" s="203">
        <f t="shared" si="90"/>
        <v>23316743030.493946</v>
      </c>
      <c r="M135" s="203">
        <f t="shared" si="90"/>
        <v>23966894053.758762</v>
      </c>
    </row>
    <row r="136" spans="1:13">
      <c r="A136" s="10"/>
      <c r="B136" s="11" t="s">
        <v>512</v>
      </c>
      <c r="C136" s="151"/>
      <c r="D136" s="151">
        <f>1645042255-D116-D124-D130</f>
        <v>345042255</v>
      </c>
      <c r="E136" s="151">
        <v>388393522.64999998</v>
      </c>
      <c r="F136" s="151">
        <v>933045328.32949996</v>
      </c>
      <c r="G136" s="151">
        <v>979036688.17938495</v>
      </c>
      <c r="H136" s="151">
        <f t="shared" ref="H136:M136" si="91">1645042255-H116-H124-H130</f>
        <v>1419940493</v>
      </c>
      <c r="I136" s="151">
        <f t="shared" si="91"/>
        <v>1413187440.1399999</v>
      </c>
      <c r="J136" s="151">
        <f t="shared" si="91"/>
        <v>1406231795.6942</v>
      </c>
      <c r="K136" s="151">
        <f t="shared" si="91"/>
        <v>1399067481.9150259</v>
      </c>
      <c r="L136" s="151">
        <f t="shared" si="91"/>
        <v>1391688238.7224767</v>
      </c>
      <c r="M136" s="151">
        <f t="shared" si="91"/>
        <v>1384087618.2341511</v>
      </c>
    </row>
    <row r="137" spans="1:13">
      <c r="A137" s="10"/>
      <c r="B137" s="11" t="s">
        <v>501</v>
      </c>
      <c r="C137" s="151"/>
      <c r="D137" s="151">
        <v>558116405</v>
      </c>
      <c r="E137" s="151">
        <v>2489706020</v>
      </c>
      <c r="F137" s="151">
        <v>2489706020</v>
      </c>
      <c r="G137" s="151">
        <v>2489706020</v>
      </c>
      <c r="H137" s="151">
        <v>19480127917.998005</v>
      </c>
      <c r="I137" s="151">
        <v>20064531756.327946</v>
      </c>
      <c r="J137" s="151">
        <v>20666467708.127785</v>
      </c>
      <c r="K137" s="151">
        <v>21286461739.661617</v>
      </c>
      <c r="L137" s="151">
        <v>21925054791.771469</v>
      </c>
      <c r="M137" s="151">
        <v>22582806435.524612</v>
      </c>
    </row>
    <row r="138" spans="1:13">
      <c r="A138" s="10"/>
      <c r="B138" s="11" t="s">
        <v>536</v>
      </c>
      <c r="C138" s="151"/>
      <c r="D138" s="151">
        <v>759963253</v>
      </c>
      <c r="E138" s="151">
        <v>0</v>
      </c>
      <c r="F138" s="151">
        <v>0</v>
      </c>
      <c r="G138" s="151">
        <v>0</v>
      </c>
      <c r="H138" s="151">
        <v>0</v>
      </c>
      <c r="I138" s="151">
        <v>0</v>
      </c>
      <c r="J138" s="151">
        <v>0</v>
      </c>
      <c r="K138" s="151">
        <v>0</v>
      </c>
      <c r="L138" s="151">
        <v>0</v>
      </c>
      <c r="M138" s="151">
        <v>0</v>
      </c>
    </row>
    <row r="139" spans="1:13" ht="26.25">
      <c r="A139" s="8" t="s">
        <v>194</v>
      </c>
      <c r="B139" s="9" t="s">
        <v>534</v>
      </c>
      <c r="C139" s="151"/>
      <c r="D139" s="151">
        <v>12103886765</v>
      </c>
      <c r="E139" s="151">
        <v>0</v>
      </c>
      <c r="F139" s="151">
        <v>0</v>
      </c>
      <c r="G139" s="151">
        <v>0</v>
      </c>
      <c r="H139" s="151">
        <v>0</v>
      </c>
      <c r="I139" s="151">
        <v>0</v>
      </c>
      <c r="J139" s="151">
        <v>0</v>
      </c>
      <c r="K139" s="151">
        <v>0</v>
      </c>
      <c r="L139" s="151">
        <v>0</v>
      </c>
      <c r="M139" s="151">
        <v>0</v>
      </c>
    </row>
    <row r="140" spans="1:13">
      <c r="A140" s="8"/>
      <c r="B140" s="9" t="s">
        <v>535</v>
      </c>
      <c r="C140" s="151"/>
      <c r="D140" s="151">
        <v>570031628.89950001</v>
      </c>
      <c r="E140" s="151">
        <v>1455398434.6037502</v>
      </c>
      <c r="F140" s="151">
        <v>1625398434.6037502</v>
      </c>
      <c r="G140" s="151">
        <v>149382361.22299999</v>
      </c>
      <c r="H140" s="151"/>
      <c r="I140" s="151"/>
      <c r="J140" s="151"/>
      <c r="K140" s="151"/>
      <c r="L140" s="151"/>
      <c r="M140" s="151"/>
    </row>
    <row r="141" spans="1:13">
      <c r="A141" s="4" t="s">
        <v>195</v>
      </c>
      <c r="B141" s="5" t="s">
        <v>196</v>
      </c>
      <c r="C141" s="154">
        <f t="shared" ref="C141:M141" si="92">C80-C93</f>
        <v>0</v>
      </c>
      <c r="D141" s="154">
        <f t="shared" si="92"/>
        <v>-8425350745.909523</v>
      </c>
      <c r="E141" s="154">
        <f t="shared" si="92"/>
        <v>-8431623160.40905</v>
      </c>
      <c r="F141" s="154">
        <f t="shared" si="92"/>
        <v>-8682359624.6040802</v>
      </c>
      <c r="G141" s="154">
        <f t="shared" si="92"/>
        <v>-8947530122.270092</v>
      </c>
      <c r="H141" s="154">
        <f t="shared" si="92"/>
        <v>-9206353724.0283813</v>
      </c>
      <c r="I141" s="154">
        <f t="shared" si="92"/>
        <v>-9480056342.397049</v>
      </c>
      <c r="J141" s="154">
        <f t="shared" si="92"/>
        <v>-9761870517.8710785</v>
      </c>
      <c r="K141" s="154">
        <f t="shared" si="92"/>
        <v>-10052035619.233028</v>
      </c>
      <c r="L141" s="154">
        <f t="shared" si="92"/>
        <v>-10350797232.687267</v>
      </c>
      <c r="M141" s="154">
        <f t="shared" si="92"/>
        <v>-10658410548.423428</v>
      </c>
    </row>
    <row r="142" spans="1:13" hidden="1">
      <c r="A142" s="4" t="s">
        <v>197</v>
      </c>
      <c r="B142" s="5" t="s">
        <v>198</v>
      </c>
      <c r="C142" s="154">
        <f t="shared" ref="C142:M142" si="93">C4-C42</f>
        <v>0</v>
      </c>
      <c r="D142" s="154">
        <f t="shared" si="93"/>
        <v>-0.159515380859375</v>
      </c>
      <c r="E142" s="154">
        <f t="shared" si="93"/>
        <v>-0.5965576171875</v>
      </c>
      <c r="F142" s="154">
        <f t="shared" si="93"/>
        <v>0</v>
      </c>
      <c r="G142" s="154">
        <f t="shared" si="93"/>
        <v>0</v>
      </c>
      <c r="H142" s="154">
        <f t="shared" si="93"/>
        <v>0</v>
      </c>
      <c r="I142" s="154">
        <f t="shared" si="93"/>
        <v>0</v>
      </c>
      <c r="J142" s="154">
        <f t="shared" si="93"/>
        <v>0</v>
      </c>
      <c r="K142" s="154">
        <f t="shared" si="93"/>
        <v>0</v>
      </c>
      <c r="L142" s="154">
        <f t="shared" si="93"/>
        <v>0</v>
      </c>
      <c r="M142" s="154">
        <f t="shared" si="93"/>
        <v>0</v>
      </c>
    </row>
    <row r="143" spans="1:13" hidden="1">
      <c r="A143" s="6" t="s">
        <v>199</v>
      </c>
      <c r="B143" s="7" t="s">
        <v>200</v>
      </c>
      <c r="C143" s="153">
        <f t="shared" ref="C143:M143" si="94">C144</f>
        <v>0</v>
      </c>
      <c r="D143" s="153">
        <f t="shared" si="94"/>
        <v>0</v>
      </c>
      <c r="E143" s="153">
        <f t="shared" si="94"/>
        <v>0</v>
      </c>
      <c r="F143" s="153">
        <f t="shared" si="94"/>
        <v>0</v>
      </c>
      <c r="G143" s="153">
        <f t="shared" si="94"/>
        <v>0</v>
      </c>
      <c r="H143" s="153">
        <f t="shared" si="94"/>
        <v>0</v>
      </c>
      <c r="I143" s="153">
        <f t="shared" si="94"/>
        <v>0</v>
      </c>
      <c r="J143" s="153">
        <f t="shared" si="94"/>
        <v>0</v>
      </c>
      <c r="K143" s="153">
        <f t="shared" si="94"/>
        <v>0</v>
      </c>
      <c r="L143" s="153">
        <f t="shared" si="94"/>
        <v>0</v>
      </c>
      <c r="M143" s="153">
        <f t="shared" si="94"/>
        <v>0</v>
      </c>
    </row>
    <row r="144" spans="1:13" hidden="1">
      <c r="A144" s="6" t="s">
        <v>201</v>
      </c>
      <c r="B144" s="7" t="s">
        <v>202</v>
      </c>
      <c r="C144" s="153">
        <f t="shared" ref="C144:M144" si="95">C145+C148</f>
        <v>0</v>
      </c>
      <c r="D144" s="153">
        <f t="shared" si="95"/>
        <v>0</v>
      </c>
      <c r="E144" s="153">
        <f t="shared" si="95"/>
        <v>0</v>
      </c>
      <c r="F144" s="153">
        <f t="shared" si="95"/>
        <v>0</v>
      </c>
      <c r="G144" s="153">
        <f t="shared" si="95"/>
        <v>0</v>
      </c>
      <c r="H144" s="153">
        <f t="shared" si="95"/>
        <v>0</v>
      </c>
      <c r="I144" s="153">
        <f t="shared" si="95"/>
        <v>0</v>
      </c>
      <c r="J144" s="153">
        <f t="shared" si="95"/>
        <v>0</v>
      </c>
      <c r="K144" s="153">
        <f t="shared" si="95"/>
        <v>0</v>
      </c>
      <c r="L144" s="153">
        <f t="shared" si="95"/>
        <v>0</v>
      </c>
      <c r="M144" s="153">
        <f t="shared" si="95"/>
        <v>0</v>
      </c>
    </row>
    <row r="145" spans="1:13" hidden="1">
      <c r="A145" s="6" t="s">
        <v>203</v>
      </c>
      <c r="B145" s="7" t="s">
        <v>204</v>
      </c>
      <c r="C145" s="153">
        <f t="shared" ref="C145:M145" si="96">C146-C147</f>
        <v>0</v>
      </c>
      <c r="D145" s="153">
        <f t="shared" si="96"/>
        <v>0</v>
      </c>
      <c r="E145" s="153">
        <f t="shared" si="96"/>
        <v>0</v>
      </c>
      <c r="F145" s="153">
        <f t="shared" si="96"/>
        <v>0</v>
      </c>
      <c r="G145" s="153">
        <f t="shared" si="96"/>
        <v>0</v>
      </c>
      <c r="H145" s="153">
        <f t="shared" si="96"/>
        <v>0</v>
      </c>
      <c r="I145" s="153">
        <f t="shared" si="96"/>
        <v>0</v>
      </c>
      <c r="J145" s="153">
        <f t="shared" si="96"/>
        <v>0</v>
      </c>
      <c r="K145" s="153">
        <f t="shared" si="96"/>
        <v>0</v>
      </c>
      <c r="L145" s="153">
        <f t="shared" si="96"/>
        <v>0</v>
      </c>
      <c r="M145" s="153">
        <f t="shared" si="96"/>
        <v>0</v>
      </c>
    </row>
    <row r="146" spans="1:13" hidden="1">
      <c r="A146" s="10" t="s">
        <v>205</v>
      </c>
      <c r="B146" s="11" t="s">
        <v>206</v>
      </c>
      <c r="C146" s="151"/>
      <c r="D146" s="151"/>
      <c r="E146" s="151"/>
      <c r="F146" s="151"/>
      <c r="G146" s="151"/>
      <c r="H146" s="151"/>
      <c r="I146" s="151"/>
      <c r="J146" s="151"/>
      <c r="K146" s="151"/>
      <c r="L146" s="151"/>
      <c r="M146" s="151"/>
    </row>
    <row r="147" spans="1:13" hidden="1">
      <c r="A147" s="10" t="s">
        <v>207</v>
      </c>
      <c r="B147" s="11" t="s">
        <v>208</v>
      </c>
      <c r="C147" s="151"/>
      <c r="D147" s="151"/>
      <c r="E147" s="151"/>
      <c r="F147" s="151"/>
      <c r="G147" s="151"/>
      <c r="H147" s="151"/>
      <c r="I147" s="151"/>
      <c r="J147" s="151"/>
      <c r="K147" s="151"/>
      <c r="L147" s="151"/>
      <c r="M147" s="151"/>
    </row>
    <row r="148" spans="1:13" hidden="1">
      <c r="A148" s="6" t="s">
        <v>209</v>
      </c>
      <c r="B148" s="7" t="s">
        <v>210</v>
      </c>
      <c r="C148" s="153">
        <f t="shared" ref="C148:M148" si="97">C149-C150</f>
        <v>0</v>
      </c>
      <c r="D148" s="153">
        <f t="shared" si="97"/>
        <v>0</v>
      </c>
      <c r="E148" s="153">
        <f t="shared" si="97"/>
        <v>0</v>
      </c>
      <c r="F148" s="153">
        <f t="shared" si="97"/>
        <v>0</v>
      </c>
      <c r="G148" s="153">
        <f t="shared" si="97"/>
        <v>0</v>
      </c>
      <c r="H148" s="153">
        <f t="shared" si="97"/>
        <v>0</v>
      </c>
      <c r="I148" s="153">
        <f t="shared" si="97"/>
        <v>0</v>
      </c>
      <c r="J148" s="153">
        <f t="shared" si="97"/>
        <v>0</v>
      </c>
      <c r="K148" s="153">
        <f t="shared" si="97"/>
        <v>0</v>
      </c>
      <c r="L148" s="153">
        <f t="shared" si="97"/>
        <v>0</v>
      </c>
      <c r="M148" s="153">
        <f t="shared" si="97"/>
        <v>0</v>
      </c>
    </row>
    <row r="149" spans="1:13" hidden="1">
      <c r="A149" s="10" t="s">
        <v>211</v>
      </c>
      <c r="B149" s="11" t="s">
        <v>206</v>
      </c>
      <c r="C149" s="151"/>
      <c r="D149" s="151"/>
      <c r="E149" s="151"/>
      <c r="F149" s="151"/>
      <c r="G149" s="151"/>
      <c r="H149" s="151"/>
      <c r="I149" s="151"/>
      <c r="J149" s="151"/>
      <c r="K149" s="151"/>
      <c r="L149" s="151"/>
      <c r="M149" s="151"/>
    </row>
    <row r="150" spans="1:13" hidden="1">
      <c r="A150" s="10" t="s">
        <v>212</v>
      </c>
      <c r="B150" s="11" t="s">
        <v>208</v>
      </c>
      <c r="C150" s="151"/>
      <c r="D150" s="151"/>
      <c r="E150" s="151"/>
      <c r="F150" s="151"/>
      <c r="G150" s="151"/>
      <c r="H150" s="151"/>
      <c r="I150" s="151"/>
      <c r="J150" s="151"/>
      <c r="K150" s="151"/>
      <c r="L150" s="151"/>
      <c r="M150" s="151"/>
    </row>
    <row r="151" spans="1:13">
      <c r="A151" s="17" t="s">
        <v>213</v>
      </c>
      <c r="B151" s="18" t="s">
        <v>214</v>
      </c>
      <c r="C151" s="155"/>
      <c r="D151" s="155"/>
      <c r="E151" s="155"/>
      <c r="F151" s="155"/>
      <c r="G151" s="155"/>
      <c r="H151" s="155"/>
      <c r="I151" s="155"/>
      <c r="J151" s="155"/>
      <c r="K151" s="155"/>
      <c r="L151" s="155"/>
      <c r="M151" s="155"/>
    </row>
    <row r="152" spans="1:13">
      <c r="A152" s="6" t="s">
        <v>215</v>
      </c>
      <c r="B152" s="7" t="s">
        <v>216</v>
      </c>
      <c r="C152" s="153">
        <f t="shared" ref="C152:M152" si="98">(C5+C80)-(C44+C59+C62+C63+C93)</f>
        <v>0</v>
      </c>
      <c r="D152" s="153">
        <f t="shared" si="98"/>
        <v>-0.159515380859375</v>
      </c>
      <c r="E152" s="153">
        <f t="shared" si="98"/>
        <v>-0.5965576171875</v>
      </c>
      <c r="F152" s="153">
        <f t="shared" si="98"/>
        <v>0</v>
      </c>
      <c r="G152" s="153">
        <f t="shared" si="98"/>
        <v>0</v>
      </c>
      <c r="H152" s="153">
        <f t="shared" si="98"/>
        <v>0</v>
      </c>
      <c r="I152" s="153">
        <f t="shared" si="98"/>
        <v>0</v>
      </c>
      <c r="J152" s="153">
        <f t="shared" si="98"/>
        <v>0</v>
      </c>
      <c r="K152" s="153">
        <f t="shared" si="98"/>
        <v>0</v>
      </c>
      <c r="L152" s="153">
        <f t="shared" si="98"/>
        <v>0</v>
      </c>
      <c r="M152" s="153">
        <f t="shared" si="98"/>
        <v>0</v>
      </c>
    </row>
    <row r="153" spans="1:13">
      <c r="A153" s="8" t="s">
        <v>217</v>
      </c>
      <c r="B153" s="9" t="s">
        <v>218</v>
      </c>
      <c r="C153" s="156">
        <f t="shared" ref="C153:M153" si="99">IF(C152=0,0,IF(C76=0,0,C152/C76))</f>
        <v>0</v>
      </c>
      <c r="D153" s="156">
        <f t="shared" si="99"/>
        <v>0</v>
      </c>
      <c r="E153" s="156">
        <f t="shared" si="99"/>
        <v>0</v>
      </c>
      <c r="F153" s="156">
        <f t="shared" si="99"/>
        <v>0</v>
      </c>
      <c r="G153" s="156">
        <f t="shared" si="99"/>
        <v>0</v>
      </c>
      <c r="H153" s="156">
        <f t="shared" si="99"/>
        <v>0</v>
      </c>
      <c r="I153" s="156">
        <f t="shared" si="99"/>
        <v>0</v>
      </c>
      <c r="J153" s="156">
        <f t="shared" si="99"/>
        <v>0</v>
      </c>
      <c r="K153" s="156">
        <f t="shared" si="99"/>
        <v>0</v>
      </c>
      <c r="L153" s="156">
        <f t="shared" si="99"/>
        <v>0</v>
      </c>
      <c r="M153" s="156">
        <f t="shared" si="99"/>
        <v>0</v>
      </c>
    </row>
    <row r="154" spans="1:13" ht="25.5">
      <c r="A154" s="17" t="s">
        <v>219</v>
      </c>
      <c r="B154" s="18" t="s">
        <v>220</v>
      </c>
      <c r="C154" s="155"/>
      <c r="D154" s="155"/>
      <c r="E154" s="155"/>
      <c r="F154" s="155"/>
      <c r="G154" s="155"/>
      <c r="H154" s="155"/>
      <c r="I154" s="155"/>
      <c r="J154" s="155"/>
      <c r="K154" s="155"/>
      <c r="L154" s="155"/>
      <c r="M154" s="155"/>
    </row>
    <row r="155" spans="1:13" ht="26.25">
      <c r="A155" s="8" t="s">
        <v>221</v>
      </c>
      <c r="B155" s="9" t="s">
        <v>222</v>
      </c>
      <c r="C155" s="156">
        <f t="shared" ref="C155:M155" si="100">C4+C146+C149-C88</f>
        <v>0</v>
      </c>
      <c r="D155" s="156">
        <f t="shared" si="100"/>
        <v>90860824829.850006</v>
      </c>
      <c r="E155" s="156">
        <f t="shared" si="100"/>
        <v>73957194198.765503</v>
      </c>
      <c r="F155" s="156">
        <f t="shared" si="100"/>
        <v>76175910024.72847</v>
      </c>
      <c r="G155" s="156">
        <f t="shared" si="100"/>
        <v>78461187325.470337</v>
      </c>
      <c r="H155" s="156">
        <f t="shared" si="100"/>
        <v>80815022945.234436</v>
      </c>
      <c r="I155" s="156">
        <f t="shared" si="100"/>
        <v>83239473633.591476</v>
      </c>
      <c r="J155" s="156">
        <f t="shared" si="100"/>
        <v>85736657842.599213</v>
      </c>
      <c r="K155" s="156">
        <f t="shared" si="100"/>
        <v>88308757577.877197</v>
      </c>
      <c r="L155" s="156">
        <f t="shared" si="100"/>
        <v>90958020305.213516</v>
      </c>
      <c r="M155" s="156">
        <f t="shared" si="100"/>
        <v>93686760914.369934</v>
      </c>
    </row>
    <row r="156" spans="1:13" ht="26.25">
      <c r="A156" s="8" t="s">
        <v>223</v>
      </c>
      <c r="B156" s="9" t="s">
        <v>224</v>
      </c>
      <c r="C156" s="156">
        <f t="shared" ref="C156:M156" si="101">C42+C145+C149-C58-C114</f>
        <v>0</v>
      </c>
      <c r="D156" s="156">
        <f t="shared" si="101"/>
        <v>64393164752.749496</v>
      </c>
      <c r="E156" s="156">
        <f t="shared" si="101"/>
        <v>51090958616.599258</v>
      </c>
      <c r="F156" s="156">
        <f t="shared" si="101"/>
        <v>55377182033.765579</v>
      </c>
      <c r="G156" s="156">
        <f t="shared" si="101"/>
        <v>68423183897.640678</v>
      </c>
      <c r="H156" s="156">
        <f t="shared" si="101"/>
        <v>53562540999.231689</v>
      </c>
      <c r="I156" s="156">
        <f t="shared" si="101"/>
        <v>55171905222.560814</v>
      </c>
      <c r="J156" s="156">
        <f t="shared" si="101"/>
        <v>56829649894.035522</v>
      </c>
      <c r="K156" s="156">
        <f t="shared" si="101"/>
        <v>58537230405.030785</v>
      </c>
      <c r="L156" s="156">
        <f t="shared" si="101"/>
        <v>60296146772.304474</v>
      </c>
      <c r="M156" s="156">
        <f t="shared" si="101"/>
        <v>62107941776.718063</v>
      </c>
    </row>
    <row r="157" spans="1:13" ht="26.25">
      <c r="A157" s="6" t="s">
        <v>225</v>
      </c>
      <c r="B157" s="7" t="s">
        <v>226</v>
      </c>
      <c r="C157" s="153">
        <f t="shared" ref="C157:M157" si="102">C155-C156</f>
        <v>0</v>
      </c>
      <c r="D157" s="153">
        <f t="shared" si="102"/>
        <v>26467660077.10051</v>
      </c>
      <c r="E157" s="153">
        <f t="shared" si="102"/>
        <v>22866235582.166245</v>
      </c>
      <c r="F157" s="153">
        <f t="shared" si="102"/>
        <v>20798727990.962891</v>
      </c>
      <c r="G157" s="153">
        <f t="shared" si="102"/>
        <v>10038003427.829659</v>
      </c>
      <c r="H157" s="153">
        <f t="shared" si="102"/>
        <v>27252481946.002747</v>
      </c>
      <c r="I157" s="153">
        <f t="shared" si="102"/>
        <v>28067568411.030663</v>
      </c>
      <c r="J157" s="153">
        <f t="shared" si="102"/>
        <v>28907007948.56369</v>
      </c>
      <c r="K157" s="153">
        <f t="shared" si="102"/>
        <v>29771527172.846413</v>
      </c>
      <c r="L157" s="153">
        <f t="shared" si="102"/>
        <v>30661873532.909042</v>
      </c>
      <c r="M157" s="153">
        <f t="shared" si="102"/>
        <v>31578819137.651871</v>
      </c>
    </row>
    <row r="158" spans="1:13">
      <c r="A158" s="17">
        <v>2</v>
      </c>
      <c r="B158" s="19" t="s">
        <v>227</v>
      </c>
      <c r="C158" s="155"/>
      <c r="D158" s="155"/>
      <c r="E158" s="155"/>
      <c r="F158" s="155"/>
      <c r="G158" s="155"/>
      <c r="H158" s="155"/>
      <c r="I158" s="155"/>
      <c r="J158" s="155"/>
      <c r="K158" s="155"/>
      <c r="L158" s="155"/>
      <c r="M158" s="155"/>
    </row>
    <row r="159" spans="1:13">
      <c r="A159" s="6" t="s">
        <v>228</v>
      </c>
      <c r="B159" s="7" t="s">
        <v>229</v>
      </c>
      <c r="C159" s="153">
        <f t="shared" ref="C159:M159" si="103">C88-C58-C114</f>
        <v>0</v>
      </c>
      <c r="D159" s="153">
        <f t="shared" si="103"/>
        <v>-26467660077.260021</v>
      </c>
      <c r="E159" s="153">
        <f t="shared" si="103"/>
        <v>-22866235582.762802</v>
      </c>
      <c r="F159" s="153">
        <f t="shared" si="103"/>
        <v>-20798727990.962891</v>
      </c>
      <c r="G159" s="153">
        <f t="shared" si="103"/>
        <v>-10038003427.82966</v>
      </c>
      <c r="H159" s="153">
        <f t="shared" si="103"/>
        <v>-27252481946.00275</v>
      </c>
      <c r="I159" s="153">
        <f t="shared" si="103"/>
        <v>-28067568411.030647</v>
      </c>
      <c r="J159" s="153">
        <f t="shared" si="103"/>
        <v>-28907007948.563686</v>
      </c>
      <c r="K159" s="153">
        <f t="shared" si="103"/>
        <v>-29771527172.846413</v>
      </c>
      <c r="L159" s="153">
        <f t="shared" si="103"/>
        <v>-30661873532.909054</v>
      </c>
      <c r="M159" s="153">
        <f t="shared" si="103"/>
        <v>-31578819137.651867</v>
      </c>
    </row>
    <row r="160" spans="1:13" ht="26.25">
      <c r="A160" s="20" t="s">
        <v>230</v>
      </c>
      <c r="B160" s="21" t="s">
        <v>231</v>
      </c>
      <c r="C160" s="157"/>
      <c r="D160" s="157"/>
      <c r="E160" s="157"/>
      <c r="F160" s="157"/>
      <c r="G160" s="157"/>
      <c r="H160" s="157"/>
      <c r="I160" s="157"/>
      <c r="J160" s="157"/>
      <c r="K160" s="157"/>
      <c r="L160" s="157"/>
      <c r="M160" s="157"/>
    </row>
    <row r="161" spans="1:13">
      <c r="A161" s="6" t="s">
        <v>232</v>
      </c>
      <c r="B161" s="7" t="s">
        <v>233</v>
      </c>
      <c r="C161" s="158">
        <f t="shared" ref="C161:M161" si="104">C4+C146+C149</f>
        <v>0</v>
      </c>
      <c r="D161" s="158">
        <f t="shared" si="104"/>
        <v>90860824829.850006</v>
      </c>
      <c r="E161" s="158">
        <f t="shared" si="104"/>
        <v>73957194198.765503</v>
      </c>
      <c r="F161" s="158">
        <f t="shared" si="104"/>
        <v>76175910024.72847</v>
      </c>
      <c r="G161" s="158">
        <f t="shared" si="104"/>
        <v>78461187325.470337</v>
      </c>
      <c r="H161" s="158">
        <f t="shared" si="104"/>
        <v>80815022945.234436</v>
      </c>
      <c r="I161" s="158">
        <f t="shared" si="104"/>
        <v>83239473633.591476</v>
      </c>
      <c r="J161" s="158">
        <f t="shared" si="104"/>
        <v>85736657842.599213</v>
      </c>
      <c r="K161" s="158">
        <f t="shared" si="104"/>
        <v>88308757577.877197</v>
      </c>
      <c r="L161" s="158">
        <f t="shared" si="104"/>
        <v>90958020305.213516</v>
      </c>
      <c r="M161" s="158">
        <f t="shared" si="104"/>
        <v>93686760914.369934</v>
      </c>
    </row>
    <row r="162" spans="1:13">
      <c r="A162" s="6" t="s">
        <v>234</v>
      </c>
      <c r="B162" s="7" t="s">
        <v>235</v>
      </c>
      <c r="C162" s="153">
        <f t="shared" ref="C162:M162" si="105">C42+C147+C150</f>
        <v>0</v>
      </c>
      <c r="D162" s="153">
        <f t="shared" si="105"/>
        <v>90860824830.009521</v>
      </c>
      <c r="E162" s="153">
        <f t="shared" si="105"/>
        <v>73957194199.362061</v>
      </c>
      <c r="F162" s="153">
        <f t="shared" si="105"/>
        <v>76175910024.72847</v>
      </c>
      <c r="G162" s="153">
        <f t="shared" si="105"/>
        <v>78461187325.470337</v>
      </c>
      <c r="H162" s="153">
        <f t="shared" si="105"/>
        <v>80815022945.234436</v>
      </c>
      <c r="I162" s="153">
        <f t="shared" si="105"/>
        <v>83239473633.591461</v>
      </c>
      <c r="J162" s="153">
        <f t="shared" si="105"/>
        <v>85736657842.599213</v>
      </c>
      <c r="K162" s="153">
        <f t="shared" si="105"/>
        <v>88308757577.877197</v>
      </c>
      <c r="L162" s="153">
        <f t="shared" si="105"/>
        <v>90958020305.213531</v>
      </c>
      <c r="M162" s="153">
        <f t="shared" si="105"/>
        <v>93686760914.369934</v>
      </c>
    </row>
    <row r="163" spans="1:13" ht="13.5" customHeight="1" thickBot="1">
      <c r="A163" s="22" t="s">
        <v>236</v>
      </c>
      <c r="B163" s="23" t="s">
        <v>237</v>
      </c>
      <c r="C163" s="159">
        <f t="shared" ref="C163:M163" si="106">C161-C162</f>
        <v>0</v>
      </c>
      <c r="D163" s="159">
        <f t="shared" si="106"/>
        <v>-0.159515380859375</v>
      </c>
      <c r="E163" s="159">
        <f t="shared" si="106"/>
        <v>-0.5965576171875</v>
      </c>
      <c r="F163" s="159">
        <f t="shared" si="106"/>
        <v>0</v>
      </c>
      <c r="G163" s="159">
        <f t="shared" si="106"/>
        <v>0</v>
      </c>
      <c r="H163" s="159">
        <f t="shared" si="106"/>
        <v>0</v>
      </c>
      <c r="I163" s="159">
        <f t="shared" si="106"/>
        <v>0</v>
      </c>
      <c r="J163" s="159">
        <f t="shared" si="106"/>
        <v>0</v>
      </c>
      <c r="K163" s="159">
        <f t="shared" si="106"/>
        <v>0</v>
      </c>
      <c r="L163" s="159">
        <f t="shared" si="106"/>
        <v>0</v>
      </c>
      <c r="M163" s="159">
        <f t="shared" si="106"/>
        <v>0</v>
      </c>
    </row>
    <row r="165" spans="1:13" ht="15.75" thickBot="1">
      <c r="A165" s="22"/>
      <c r="B165" s="23" t="s">
        <v>480</v>
      </c>
      <c r="C165" s="159"/>
      <c r="D165" s="159">
        <f>+C165-D147-D150</f>
        <v>0</v>
      </c>
      <c r="E165" s="159">
        <f t="shared" ref="E165:M165" si="107">+D165-E147-E150</f>
        <v>0</v>
      </c>
      <c r="F165" s="159">
        <f t="shared" si="107"/>
        <v>0</v>
      </c>
      <c r="G165" s="159">
        <f t="shared" si="107"/>
        <v>0</v>
      </c>
      <c r="H165" s="159">
        <f t="shared" si="107"/>
        <v>0</v>
      </c>
      <c r="I165" s="159">
        <f t="shared" si="107"/>
        <v>0</v>
      </c>
      <c r="J165" s="159">
        <f t="shared" si="107"/>
        <v>0</v>
      </c>
      <c r="K165" s="159">
        <f t="shared" si="107"/>
        <v>0</v>
      </c>
      <c r="L165" s="159">
        <f t="shared" si="107"/>
        <v>0</v>
      </c>
      <c r="M165" s="159">
        <f t="shared" si="107"/>
        <v>0</v>
      </c>
    </row>
    <row r="167" spans="1:13">
      <c r="B167" s="2" t="s">
        <v>501</v>
      </c>
      <c r="D167" s="160">
        <f>SUM(D83)</f>
        <v>19962589992</v>
      </c>
      <c r="E167" s="160">
        <f t="shared" ref="E167:M167" si="108">SUM(E83)</f>
        <v>20561467691.760002</v>
      </c>
      <c r="F167" s="160">
        <f t="shared" si="108"/>
        <v>21178311722.512802</v>
      </c>
      <c r="G167" s="160">
        <f t="shared" si="108"/>
        <v>21813661074.188187</v>
      </c>
      <c r="H167" s="160">
        <f t="shared" si="108"/>
        <v>22468070906.413834</v>
      </c>
      <c r="I167" s="160">
        <f t="shared" si="108"/>
        <v>23142113033.606251</v>
      </c>
      <c r="J167" s="160">
        <f t="shared" si="108"/>
        <v>23836376424.614437</v>
      </c>
      <c r="K167" s="160">
        <f t="shared" si="108"/>
        <v>24551467717.352871</v>
      </c>
      <c r="L167" s="160">
        <f t="shared" si="108"/>
        <v>25288011748.873459</v>
      </c>
      <c r="M167" s="160">
        <f t="shared" si="108"/>
        <v>26046652101.339664</v>
      </c>
    </row>
    <row r="168" spans="1:13">
      <c r="D168" s="160">
        <f>SUM(D69+D73+D98+D107+D117+D122+D126+D133+D137+D140)</f>
        <v>19962589992.1595</v>
      </c>
      <c r="E168" s="160">
        <f t="shared" ref="E168:M168" si="109">SUM(E69+E73+E98+E107+E117+E122+E126+E133+E137+E140)</f>
        <v>20561467692.356552</v>
      </c>
      <c r="F168" s="160">
        <f t="shared" si="109"/>
        <v>21178311722.512802</v>
      </c>
      <c r="G168" s="160">
        <f t="shared" si="109"/>
        <v>21813661074.188187</v>
      </c>
      <c r="H168" s="160">
        <f t="shared" si="109"/>
        <v>22468070906.413834</v>
      </c>
      <c r="I168" s="160">
        <f t="shared" si="109"/>
        <v>23142113033.606251</v>
      </c>
      <c r="J168" s="160">
        <f t="shared" si="109"/>
        <v>23836376424.614437</v>
      </c>
      <c r="K168" s="160">
        <f t="shared" si="109"/>
        <v>24551467717.352871</v>
      </c>
      <c r="L168" s="160">
        <f t="shared" si="109"/>
        <v>25288011748.873459</v>
      </c>
      <c r="M168" s="160">
        <f t="shared" si="109"/>
        <v>26046652101.339661</v>
      </c>
    </row>
    <row r="169" spans="1:13">
      <c r="D169" s="160">
        <f>SUM(D167-D168)</f>
        <v>-0.1595001220703125</v>
      </c>
      <c r="E169" s="160">
        <f t="shared" ref="E169:M169" si="110">SUM(E167-E168)</f>
        <v>-0.59654998779296875</v>
      </c>
      <c r="F169" s="160">
        <f t="shared" si="110"/>
        <v>0</v>
      </c>
      <c r="G169" s="160">
        <f t="shared" si="110"/>
        <v>0</v>
      </c>
      <c r="H169" s="160">
        <f t="shared" si="110"/>
        <v>0</v>
      </c>
      <c r="I169" s="160">
        <f t="shared" si="110"/>
        <v>0</v>
      </c>
      <c r="J169" s="160">
        <f t="shared" si="110"/>
        <v>0</v>
      </c>
      <c r="K169" s="160">
        <f t="shared" si="110"/>
        <v>0</v>
      </c>
      <c r="L169" s="160">
        <f t="shared" si="110"/>
        <v>0</v>
      </c>
      <c r="M169" s="160">
        <f t="shared" si="110"/>
        <v>3.814697265625E-6</v>
      </c>
    </row>
    <row r="171" spans="1:13">
      <c r="B171" s="2" t="s">
        <v>537</v>
      </c>
      <c r="D171" s="160">
        <f>SUM(D36)</f>
        <v>1944387923</v>
      </c>
      <c r="E171" s="160">
        <f t="shared" ref="E171:M171" si="111">SUM(E36)</f>
        <v>2002719560.6900001</v>
      </c>
      <c r="F171" s="160">
        <f t="shared" si="111"/>
        <v>2062801147.5107002</v>
      </c>
      <c r="G171" s="160">
        <f t="shared" si="111"/>
        <v>2124685181.9360213</v>
      </c>
      <c r="H171" s="160">
        <f t="shared" si="111"/>
        <v>2188425737.3941021</v>
      </c>
      <c r="I171" s="160">
        <f t="shared" si="111"/>
        <v>2254078509.5159254</v>
      </c>
      <c r="J171" s="160">
        <f t="shared" si="111"/>
        <v>2321700864.801403</v>
      </c>
      <c r="K171" s="160">
        <f t="shared" si="111"/>
        <v>2391351890.7454453</v>
      </c>
      <c r="L171" s="160">
        <f t="shared" si="111"/>
        <v>2463092447.4678087</v>
      </c>
      <c r="M171" s="160">
        <f t="shared" si="111"/>
        <v>2536985220.8918428</v>
      </c>
    </row>
    <row r="172" spans="1:13">
      <c r="D172" s="160">
        <f>SUM(D109+D112+D116+D121+D124+D130+D133+D136)</f>
        <v>1944387923</v>
      </c>
      <c r="E172" s="160">
        <f t="shared" ref="E172:M172" si="112">SUM(E109+E112+E116+E121+E124+E130+E133+E136)</f>
        <v>2002719560.6900001</v>
      </c>
      <c r="F172" s="160">
        <f t="shared" si="112"/>
        <v>2062801147.5107</v>
      </c>
      <c r="G172" s="160">
        <f t="shared" si="112"/>
        <v>2124685181.9360211</v>
      </c>
      <c r="H172" s="160">
        <f t="shared" si="112"/>
        <v>1981958441.569335</v>
      </c>
      <c r="I172" s="160">
        <f t="shared" si="112"/>
        <v>1992065927.166415</v>
      </c>
      <c r="J172" s="160">
        <f t="shared" si="112"/>
        <v>2002476637.3314075</v>
      </c>
      <c r="K172" s="160">
        <f t="shared" si="112"/>
        <v>2013199668.8013499</v>
      </c>
      <c r="L172" s="160">
        <f t="shared" si="112"/>
        <v>2024244391.2153902</v>
      </c>
      <c r="M172" s="160">
        <f t="shared" si="112"/>
        <v>2035620455.3018522</v>
      </c>
    </row>
    <row r="174" spans="1:13">
      <c r="B174" s="2" t="s">
        <v>538</v>
      </c>
      <c r="D174" s="160">
        <f>SUM(D35)</f>
        <v>1674939835</v>
      </c>
      <c r="E174" s="160">
        <f t="shared" ref="E174:M174" si="113">SUM(E35)</f>
        <v>1725188030.05</v>
      </c>
      <c r="F174" s="160">
        <f t="shared" si="113"/>
        <v>1776943670.9514999</v>
      </c>
      <c r="G174" s="160">
        <f t="shared" si="113"/>
        <v>1830251981.080045</v>
      </c>
      <c r="H174" s="160">
        <f t="shared" si="113"/>
        <v>1885159540.5124464</v>
      </c>
      <c r="I174" s="160">
        <f t="shared" si="113"/>
        <v>1941714326.7278199</v>
      </c>
      <c r="J174" s="160">
        <f t="shared" si="113"/>
        <v>1999965756.5296545</v>
      </c>
      <c r="K174" s="160">
        <f t="shared" si="113"/>
        <v>2059964729.2255442</v>
      </c>
      <c r="L174" s="160">
        <f t="shared" si="113"/>
        <v>2121763671.1023107</v>
      </c>
      <c r="M174" s="160">
        <f t="shared" si="113"/>
        <v>2185416581.2353802</v>
      </c>
    </row>
    <row r="175" spans="1:13">
      <c r="D175" s="160">
        <f>SUM(D72+D105+D106)</f>
        <v>1674939835</v>
      </c>
      <c r="E175" s="160">
        <f>SUM(E72+E105+E106)</f>
        <v>1725188030.0499997</v>
      </c>
      <c r="F175" s="160">
        <f>SUM(F72+F105+F106)</f>
        <v>1776943670.9514999</v>
      </c>
      <c r="G175" s="160">
        <f>SUM(G72+G105+G106)</f>
        <v>1830251981.080045</v>
      </c>
      <c r="H175" s="160">
        <f t="shared" ref="H175:M175" si="114">SUM(H72+H105+H106)</f>
        <v>1885159540.5124464</v>
      </c>
      <c r="I175" s="160">
        <f t="shared" si="114"/>
        <v>1941714326.7278199</v>
      </c>
      <c r="J175" s="160">
        <f t="shared" si="114"/>
        <v>1999965756.5296545</v>
      </c>
      <c r="K175" s="160">
        <f t="shared" si="114"/>
        <v>2059964729.2255442</v>
      </c>
      <c r="L175" s="160">
        <f t="shared" si="114"/>
        <v>2121763671.1023107</v>
      </c>
      <c r="M175" s="160">
        <f t="shared" si="114"/>
        <v>2185416581.2353802</v>
      </c>
    </row>
    <row r="177" spans="2:13">
      <c r="B177" s="2" t="s">
        <v>539</v>
      </c>
      <c r="D177" s="160">
        <f>SUM(D33)</f>
        <v>2183406443</v>
      </c>
      <c r="E177" s="160">
        <f t="shared" ref="E177:M177" si="115">SUM(E33)</f>
        <v>2248908636.29</v>
      </c>
      <c r="F177" s="160">
        <f t="shared" si="115"/>
        <v>2316375895.3787003</v>
      </c>
      <c r="G177" s="160">
        <f t="shared" si="115"/>
        <v>2385867172.2400613</v>
      </c>
      <c r="H177" s="160">
        <f t="shared" si="115"/>
        <v>2457443187.4072633</v>
      </c>
      <c r="I177" s="160">
        <f t="shared" si="115"/>
        <v>2531166483.0294814</v>
      </c>
      <c r="J177" s="160">
        <f t="shared" si="115"/>
        <v>2607101477.5203657</v>
      </c>
      <c r="K177" s="160">
        <f t="shared" si="115"/>
        <v>2685314521.8459768</v>
      </c>
      <c r="L177" s="160">
        <f t="shared" si="115"/>
        <v>2765873957.5013561</v>
      </c>
      <c r="M177" s="160">
        <f t="shared" si="115"/>
        <v>2848850176.226397</v>
      </c>
    </row>
    <row r="178" spans="2:13">
      <c r="D178" s="160">
        <f>SUM(D96)</f>
        <v>2183406443</v>
      </c>
      <c r="E178" s="160">
        <f t="shared" ref="E178:M178" si="116">SUM(E96)</f>
        <v>2248908636.29</v>
      </c>
      <c r="F178" s="160">
        <f t="shared" si="116"/>
        <v>2316375895.3787003</v>
      </c>
      <c r="G178" s="160">
        <f t="shared" si="116"/>
        <v>2385867172.2400613</v>
      </c>
      <c r="H178" s="160">
        <f t="shared" si="116"/>
        <v>2457443187.4072633</v>
      </c>
      <c r="I178" s="160">
        <f t="shared" si="116"/>
        <v>2531166483.0294814</v>
      </c>
      <c r="J178" s="160">
        <f t="shared" si="116"/>
        <v>2607101477.5203657</v>
      </c>
      <c r="K178" s="160">
        <f t="shared" si="116"/>
        <v>2685314521.8459768</v>
      </c>
      <c r="L178" s="160">
        <f t="shared" si="116"/>
        <v>2765873957.5013561</v>
      </c>
      <c r="M178" s="160">
        <f t="shared" si="116"/>
        <v>2848850176.226397</v>
      </c>
    </row>
    <row r="179" spans="2:13">
      <c r="D179" s="160"/>
      <c r="E179" s="160"/>
      <c r="F179" s="160"/>
      <c r="G179" s="160"/>
    </row>
    <row r="180" spans="2:13">
      <c r="D180" s="160">
        <f>SUM(D34+D38+D81)</f>
        <v>33874280865.849998</v>
      </c>
      <c r="E180" s="160">
        <f t="shared" ref="E180:M180" si="117">SUM(E34+E38+E81)</f>
        <v>34890509291.8255</v>
      </c>
      <c r="F180" s="160">
        <f t="shared" si="117"/>
        <v>35937224570.580269</v>
      </c>
      <c r="G180" s="160">
        <f t="shared" si="117"/>
        <v>37015341307.697678</v>
      </c>
      <c r="H180" s="160">
        <f t="shared" si="117"/>
        <v>38125801546.928612</v>
      </c>
      <c r="I180" s="160">
        <f t="shared" si="117"/>
        <v>39269575593.336472</v>
      </c>
      <c r="J180" s="160">
        <f t="shared" si="117"/>
        <v>40447662861.136566</v>
      </c>
      <c r="K180" s="160">
        <f t="shared" si="117"/>
        <v>41661092746.970657</v>
      </c>
      <c r="L180" s="160">
        <f t="shared" si="117"/>
        <v>42910925529.379776</v>
      </c>
      <c r="M180" s="160">
        <f t="shared" si="117"/>
        <v>44198253295.261177</v>
      </c>
    </row>
    <row r="181" spans="2:13">
      <c r="D181" s="160">
        <f>SUM(D65+D102)</f>
        <v>34289550265.849998</v>
      </c>
      <c r="E181" s="160">
        <f>SUM(E65+E102)</f>
        <v>35318236773.8255</v>
      </c>
      <c r="F181" s="160">
        <f>SUM(F65+F102)</f>
        <v>36377783877.040268</v>
      </c>
      <c r="G181" s="160">
        <f>SUM(G65+G102)</f>
        <v>37469117393.351479</v>
      </c>
      <c r="H181" s="160">
        <f t="shared" ref="H181:M181" si="118">SUM(H65+H102)</f>
        <v>38593190915.152023</v>
      </c>
      <c r="I181" s="160">
        <f t="shared" si="118"/>
        <v>39750986642.606583</v>
      </c>
      <c r="J181" s="160">
        <f t="shared" si="118"/>
        <v>40943516241.884781</v>
      </c>
      <c r="K181" s="160">
        <f t="shared" si="118"/>
        <v>42171821729.141327</v>
      </c>
      <c r="L181" s="160">
        <f t="shared" si="118"/>
        <v>43436976381.015572</v>
      </c>
      <c r="M181" s="160">
        <f t="shared" si="118"/>
        <v>44740085672.446037</v>
      </c>
    </row>
    <row r="182" spans="2:13">
      <c r="D182" s="160"/>
      <c r="E182" s="160"/>
      <c r="F182" s="160"/>
      <c r="G182" s="160"/>
    </row>
    <row r="183" spans="2:13">
      <c r="B183" s="2" t="s">
        <v>536</v>
      </c>
      <c r="D183" s="160">
        <f>SUM(D82)</f>
        <v>19057723666</v>
      </c>
      <c r="E183" s="160">
        <f t="shared" ref="E183:M183" si="119">SUM(E82)</f>
        <v>0</v>
      </c>
      <c r="F183" s="160">
        <f t="shared" si="119"/>
        <v>0</v>
      </c>
      <c r="G183" s="160">
        <f t="shared" si="119"/>
        <v>0</v>
      </c>
      <c r="H183" s="160">
        <f t="shared" si="119"/>
        <v>0</v>
      </c>
      <c r="I183" s="160">
        <f t="shared" si="119"/>
        <v>0</v>
      </c>
      <c r="J183" s="160">
        <f t="shared" si="119"/>
        <v>0</v>
      </c>
      <c r="K183" s="160">
        <f t="shared" si="119"/>
        <v>0</v>
      </c>
      <c r="L183" s="160">
        <f t="shared" si="119"/>
        <v>0</v>
      </c>
      <c r="M183" s="160">
        <f t="shared" si="119"/>
        <v>0</v>
      </c>
    </row>
    <row r="184" spans="2:13">
      <c r="D184" s="160">
        <f>SUM(D70+D74+D101+D138+D139)</f>
        <v>19057723666</v>
      </c>
      <c r="E184" s="160">
        <f t="shared" ref="E184:M184" si="120">SUM(E70+E74+E101+E139)</f>
        <v>0</v>
      </c>
      <c r="F184" s="160">
        <f t="shared" si="120"/>
        <v>0</v>
      </c>
      <c r="G184" s="160">
        <f t="shared" si="120"/>
        <v>0</v>
      </c>
      <c r="H184" s="160">
        <f t="shared" si="120"/>
        <v>0</v>
      </c>
      <c r="I184" s="160">
        <f t="shared" si="120"/>
        <v>0</v>
      </c>
      <c r="J184" s="160">
        <f t="shared" si="120"/>
        <v>0</v>
      </c>
      <c r="K184" s="160">
        <f t="shared" si="120"/>
        <v>0</v>
      </c>
      <c r="L184" s="160">
        <f t="shared" si="120"/>
        <v>0</v>
      </c>
      <c r="M184" s="160">
        <f t="shared" si="120"/>
        <v>0</v>
      </c>
    </row>
    <row r="185" spans="2:13">
      <c r="D185" s="160">
        <f>SUM(D183-D184)</f>
        <v>0</v>
      </c>
      <c r="E185" s="160"/>
      <c r="F185" s="160"/>
      <c r="G185" s="160"/>
    </row>
    <row r="186" spans="2:13">
      <c r="D186" s="160">
        <f>SUM(D7+D8+D13+D17+D20+D24)</f>
        <v>8707110154</v>
      </c>
      <c r="E186" s="160">
        <f t="shared" ref="E186:M186" si="121">SUM(E7+E8+E13+E17+E20+E24)</f>
        <v>8968323458.6199989</v>
      </c>
      <c r="F186" s="160">
        <f t="shared" si="121"/>
        <v>9237373162.3786011</v>
      </c>
      <c r="G186" s="160">
        <f t="shared" si="121"/>
        <v>9514494357.2499599</v>
      </c>
      <c r="H186" s="160">
        <f t="shared" si="121"/>
        <v>9799929187.9674587</v>
      </c>
      <c r="I186" s="160">
        <f t="shared" si="121"/>
        <v>10093927063.606482</v>
      </c>
      <c r="J186" s="160">
        <f t="shared" si="121"/>
        <v>10396744875.514677</v>
      </c>
      <c r="K186" s="160">
        <f t="shared" si="121"/>
        <v>10708647221.780117</v>
      </c>
      <c r="L186" s="160">
        <f t="shared" si="121"/>
        <v>11029906638.433519</v>
      </c>
      <c r="M186" s="160">
        <f t="shared" si="121"/>
        <v>11360803837.586525</v>
      </c>
    </row>
    <row r="187" spans="2:13">
      <c r="D187" s="160">
        <f>SUM(D44+D128+D129+D131)</f>
        <v>7102924911.0000181</v>
      </c>
      <c r="E187" s="160">
        <f t="shared" ref="E187:M187" si="122">SUM(E44+E128+E129+E131)</f>
        <v>7331012658.329998</v>
      </c>
      <c r="F187" s="160">
        <f t="shared" si="122"/>
        <v>7565943038.0799055</v>
      </c>
      <c r="G187" s="160">
        <f t="shared" si="122"/>
        <v>7807921329.2222996</v>
      </c>
      <c r="H187" s="160">
        <f t="shared" si="122"/>
        <v>8763626264.923727</v>
      </c>
      <c r="I187" s="160">
        <f t="shared" si="122"/>
        <v>9075886320.5214443</v>
      </c>
      <c r="J187" s="160">
        <f t="shared" si="122"/>
        <v>9397514177.7870808</v>
      </c>
      <c r="K187" s="160">
        <f t="shared" si="122"/>
        <v>9728790870.7706985</v>
      </c>
      <c r="L187" s="160">
        <f t="shared" si="122"/>
        <v>10070005864.543825</v>
      </c>
      <c r="M187" s="160">
        <f t="shared" si="122"/>
        <v>10421457308.13015</v>
      </c>
    </row>
    <row r="188" spans="2:13">
      <c r="D188" s="160">
        <f>SUM(D186-D187)</f>
        <v>1604185242.9999819</v>
      </c>
      <c r="E188" s="160">
        <f t="shared" ref="E188:M188" si="123">SUM(E186-E187)</f>
        <v>1637310800.2900009</v>
      </c>
      <c r="F188" s="160">
        <f t="shared" si="123"/>
        <v>1671430124.2986956</v>
      </c>
      <c r="G188" s="160">
        <f t="shared" si="123"/>
        <v>1706573028.0276604</v>
      </c>
      <c r="H188" s="160">
        <f t="shared" si="123"/>
        <v>1036302923.0437317</v>
      </c>
      <c r="I188" s="160">
        <f t="shared" si="123"/>
        <v>1018040743.0850372</v>
      </c>
      <c r="J188" s="160">
        <f t="shared" si="123"/>
        <v>999230697.72759628</v>
      </c>
      <c r="K188" s="160">
        <f t="shared" si="123"/>
        <v>979856351.00941849</v>
      </c>
      <c r="L188" s="160">
        <f t="shared" si="123"/>
        <v>959900773.88969421</v>
      </c>
      <c r="M188" s="160">
        <f t="shared" si="123"/>
        <v>939346529.45637512</v>
      </c>
    </row>
    <row r="189" spans="2:13">
      <c r="D189" s="160"/>
      <c r="E189" s="160"/>
      <c r="F189" s="160"/>
      <c r="G189" s="160"/>
    </row>
    <row r="190" spans="2:13">
      <c r="D190" s="160"/>
      <c r="E190" s="160"/>
      <c r="F190" s="160"/>
      <c r="G190" s="160"/>
    </row>
    <row r="191" spans="2:13">
      <c r="B191" s="2" t="s">
        <v>523</v>
      </c>
      <c r="D191" s="207">
        <f>SUM($D$83-$D$139)*0.25</f>
        <v>1964675806.75</v>
      </c>
      <c r="E191" s="207">
        <f t="shared" ref="E191:M191" si="124">SUM(E83-E139)*0.25</f>
        <v>5140366922.9400005</v>
      </c>
      <c r="F191" s="207">
        <f t="shared" si="124"/>
        <v>5294577930.6282005</v>
      </c>
      <c r="G191" s="207">
        <f t="shared" si="124"/>
        <v>5453415268.5470467</v>
      </c>
      <c r="H191" s="207">
        <f t="shared" si="124"/>
        <v>5617017726.6034584</v>
      </c>
      <c r="I191" s="207">
        <f t="shared" si="124"/>
        <v>5785528258.4015627</v>
      </c>
      <c r="J191" s="207">
        <f t="shared" si="124"/>
        <v>5959094106.1536093</v>
      </c>
      <c r="K191" s="207">
        <f t="shared" si="124"/>
        <v>6137866929.3382177</v>
      </c>
      <c r="L191" s="207">
        <f t="shared" si="124"/>
        <v>6322002937.2183647</v>
      </c>
      <c r="M191" s="207">
        <f t="shared" si="124"/>
        <v>6511663025.3349161</v>
      </c>
    </row>
    <row r="192" spans="2:13">
      <c r="B192" s="2" t="s">
        <v>524</v>
      </c>
      <c r="D192" s="207">
        <f>SUM(D83-D139)*0.1</f>
        <v>785870322.70000005</v>
      </c>
      <c r="E192" s="207">
        <f t="shared" ref="E192:M192" si="125">SUM(E83-E139)*0.1</f>
        <v>2056146769.1760004</v>
      </c>
      <c r="F192" s="207">
        <f t="shared" si="125"/>
        <v>2117831172.2512803</v>
      </c>
      <c r="G192" s="207">
        <f t="shared" si="125"/>
        <v>2181366107.418819</v>
      </c>
      <c r="H192" s="207">
        <f t="shared" si="125"/>
        <v>2246807090.6413836</v>
      </c>
      <c r="I192" s="207">
        <f t="shared" si="125"/>
        <v>2314211303.3606253</v>
      </c>
      <c r="J192" s="207">
        <f t="shared" si="125"/>
        <v>2383637642.4614439</v>
      </c>
      <c r="K192" s="207">
        <f t="shared" si="125"/>
        <v>2455146771.7352872</v>
      </c>
      <c r="L192" s="207">
        <f t="shared" si="125"/>
        <v>2528801174.8873458</v>
      </c>
      <c r="M192" s="207">
        <f t="shared" si="125"/>
        <v>2604665210.1339664</v>
      </c>
    </row>
    <row r="193" spans="2:13">
      <c r="B193" s="2" t="s">
        <v>525</v>
      </c>
      <c r="D193" s="207">
        <f>SUM(D83-D139)*0.65</f>
        <v>5108157097.5500002</v>
      </c>
      <c r="E193" s="207">
        <f t="shared" ref="E193:M193" si="126">SUM(E83-E139)*0.65</f>
        <v>13364953999.644001</v>
      </c>
      <c r="F193" s="207">
        <f t="shared" si="126"/>
        <v>13765902619.633322</v>
      </c>
      <c r="G193" s="207">
        <f t="shared" si="126"/>
        <v>14178879698.222322</v>
      </c>
      <c r="H193" s="207">
        <f t="shared" si="126"/>
        <v>14604246089.168993</v>
      </c>
      <c r="I193" s="207">
        <f t="shared" si="126"/>
        <v>15042373471.844063</v>
      </c>
      <c r="J193" s="207">
        <f t="shared" si="126"/>
        <v>15493644675.999384</v>
      </c>
      <c r="K193" s="207">
        <f t="shared" si="126"/>
        <v>15958454016.279367</v>
      </c>
      <c r="L193" s="207">
        <f t="shared" si="126"/>
        <v>16437207636.767748</v>
      </c>
      <c r="M193" s="207">
        <f t="shared" si="126"/>
        <v>16930323865.870783</v>
      </c>
    </row>
    <row r="196" spans="2:13">
      <c r="D196">
        <f>SUM(D168*0.03)</f>
        <v>598877699.76478493</v>
      </c>
    </row>
  </sheetData>
  <mergeCells count="1">
    <mergeCell ref="A1:C1"/>
  </mergeCells>
  <pageMargins left="0.70866141732283472" right="0.70866141732283472" top="0.74803149606299213" bottom="0.74803149606299213" header="0.31496062992125984" footer="0.31496062992125984"/>
  <pageSetup scale="80"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O2"/>
  <sheetViews>
    <sheetView workbookViewId="0"/>
  </sheetViews>
  <sheetFormatPr baseColWidth="10" defaultRowHeight="15"/>
  <sheetData>
    <row r="1" spans="1:15">
      <c r="A1" t="s">
        <v>21</v>
      </c>
      <c r="B1" t="s">
        <v>249</v>
      </c>
      <c r="C1" t="s">
        <v>250</v>
      </c>
      <c r="D1" t="s">
        <v>251</v>
      </c>
      <c r="E1" t="s">
        <v>252</v>
      </c>
      <c r="F1" t="s">
        <v>253</v>
      </c>
      <c r="G1" t="s">
        <v>254</v>
      </c>
      <c r="H1" t="s">
        <v>255</v>
      </c>
      <c r="I1" t="s">
        <v>256</v>
      </c>
      <c r="J1" t="s">
        <v>257</v>
      </c>
      <c r="K1" t="s">
        <v>258</v>
      </c>
      <c r="L1" t="s">
        <v>259</v>
      </c>
      <c r="M1" t="s">
        <v>260</v>
      </c>
      <c r="N1" t="s">
        <v>261</v>
      </c>
      <c r="O1" t="s">
        <v>262</v>
      </c>
    </row>
    <row r="2" spans="1:15">
      <c r="A2">
        <v>210205002</v>
      </c>
      <c r="B2" t="s">
        <v>263</v>
      </c>
      <c r="C2" t="s">
        <v>264</v>
      </c>
      <c r="D2" t="s">
        <v>265</v>
      </c>
      <c r="E2">
        <v>6</v>
      </c>
      <c r="F2">
        <v>6</v>
      </c>
      <c r="G2">
        <v>0</v>
      </c>
      <c r="H2">
        <v>1</v>
      </c>
      <c r="I2">
        <v>0</v>
      </c>
      <c r="J2">
        <v>8353647</v>
      </c>
      <c r="K2">
        <v>1556427</v>
      </c>
      <c r="L2">
        <v>8284063</v>
      </c>
      <c r="M2">
        <v>9931760</v>
      </c>
      <c r="N2">
        <v>404300</v>
      </c>
      <c r="O2">
        <v>690594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150" zoomScaleNormal="150" workbookViewId="0">
      <selection activeCell="B15" sqref="B15"/>
    </sheetView>
  </sheetViews>
  <sheetFormatPr baseColWidth="10" defaultColWidth="12" defaultRowHeight="12.75"/>
  <cols>
    <col min="1" max="1" width="18.7109375" style="29" customWidth="1"/>
    <col min="2" max="2" width="52" style="29" customWidth="1"/>
    <col min="3" max="3" width="14.85546875" style="29" customWidth="1"/>
    <col min="4" max="4" width="12" style="29" customWidth="1"/>
    <col min="5" max="242" width="12" style="29"/>
    <col min="243" max="243" width="18.7109375" style="29" customWidth="1"/>
    <col min="244" max="244" width="52" style="29" customWidth="1"/>
    <col min="245" max="247" width="0" style="29" hidden="1" customWidth="1"/>
    <col min="248" max="248" width="13" style="29" customWidth="1"/>
    <col min="249" max="251" width="12" style="29" customWidth="1"/>
    <col min="252" max="252" width="13.5703125" style="29" customWidth="1"/>
    <col min="253" max="253" width="12" style="29" customWidth="1"/>
    <col min="254" max="254" width="16" style="29" customWidth="1"/>
    <col min="255" max="255" width="14.28515625" style="29" customWidth="1"/>
    <col min="256" max="498" width="12" style="29"/>
    <col min="499" max="499" width="18.7109375" style="29" customWidth="1"/>
    <col min="500" max="500" width="52" style="29" customWidth="1"/>
    <col min="501" max="503" width="0" style="29" hidden="1" customWidth="1"/>
    <col min="504" max="504" width="13" style="29" customWidth="1"/>
    <col min="505" max="507" width="12" style="29" customWidth="1"/>
    <col min="508" max="508" width="13.5703125" style="29" customWidth="1"/>
    <col min="509" max="509" width="12" style="29" customWidth="1"/>
    <col min="510" max="510" width="16" style="29" customWidth="1"/>
    <col min="511" max="511" width="14.28515625" style="29" customWidth="1"/>
    <col min="512" max="754" width="12" style="29"/>
    <col min="755" max="755" width="18.7109375" style="29" customWidth="1"/>
    <col min="756" max="756" width="52" style="29" customWidth="1"/>
    <col min="757" max="759" width="0" style="29" hidden="1" customWidth="1"/>
    <col min="760" max="760" width="13" style="29" customWidth="1"/>
    <col min="761" max="763" width="12" style="29" customWidth="1"/>
    <col min="764" max="764" width="13.5703125" style="29" customWidth="1"/>
    <col min="765" max="765" width="12" style="29" customWidth="1"/>
    <col min="766" max="766" width="16" style="29" customWidth="1"/>
    <col min="767" max="767" width="14.28515625" style="29" customWidth="1"/>
    <col min="768" max="1010" width="12" style="29"/>
    <col min="1011" max="1011" width="18.7109375" style="29" customWidth="1"/>
    <col min="1012" max="1012" width="52" style="29" customWidth="1"/>
    <col min="1013" max="1015" width="0" style="29" hidden="1" customWidth="1"/>
    <col min="1016" max="1016" width="13" style="29" customWidth="1"/>
    <col min="1017" max="1019" width="12" style="29" customWidth="1"/>
    <col min="1020" max="1020" width="13.5703125" style="29" customWidth="1"/>
    <col min="1021" max="1021" width="12" style="29" customWidth="1"/>
    <col min="1022" max="1022" width="16" style="29" customWidth="1"/>
    <col min="1023" max="1023" width="14.28515625" style="29" customWidth="1"/>
    <col min="1024" max="1266" width="12" style="29"/>
    <col min="1267" max="1267" width="18.7109375" style="29" customWidth="1"/>
    <col min="1268" max="1268" width="52" style="29" customWidth="1"/>
    <col min="1269" max="1271" width="0" style="29" hidden="1" customWidth="1"/>
    <col min="1272" max="1272" width="13" style="29" customWidth="1"/>
    <col min="1273" max="1275" width="12" style="29" customWidth="1"/>
    <col min="1276" max="1276" width="13.5703125" style="29" customWidth="1"/>
    <col min="1277" max="1277" width="12" style="29" customWidth="1"/>
    <col min="1278" max="1278" width="16" style="29" customWidth="1"/>
    <col min="1279" max="1279" width="14.28515625" style="29" customWidth="1"/>
    <col min="1280" max="1522" width="12" style="29"/>
    <col min="1523" max="1523" width="18.7109375" style="29" customWidth="1"/>
    <col min="1524" max="1524" width="52" style="29" customWidth="1"/>
    <col min="1525" max="1527" width="0" style="29" hidden="1" customWidth="1"/>
    <col min="1528" max="1528" width="13" style="29" customWidth="1"/>
    <col min="1529" max="1531" width="12" style="29" customWidth="1"/>
    <col min="1532" max="1532" width="13.5703125" style="29" customWidth="1"/>
    <col min="1533" max="1533" width="12" style="29" customWidth="1"/>
    <col min="1534" max="1534" width="16" style="29" customWidth="1"/>
    <col min="1535" max="1535" width="14.28515625" style="29" customWidth="1"/>
    <col min="1536" max="1778" width="12" style="29"/>
    <col min="1779" max="1779" width="18.7109375" style="29" customWidth="1"/>
    <col min="1780" max="1780" width="52" style="29" customWidth="1"/>
    <col min="1781" max="1783" width="0" style="29" hidden="1" customWidth="1"/>
    <col min="1784" max="1784" width="13" style="29" customWidth="1"/>
    <col min="1785" max="1787" width="12" style="29" customWidth="1"/>
    <col min="1788" max="1788" width="13.5703125" style="29" customWidth="1"/>
    <col min="1789" max="1789" width="12" style="29" customWidth="1"/>
    <col min="1790" max="1790" width="16" style="29" customWidth="1"/>
    <col min="1791" max="1791" width="14.28515625" style="29" customWidth="1"/>
    <col min="1792" max="2034" width="12" style="29"/>
    <col min="2035" max="2035" width="18.7109375" style="29" customWidth="1"/>
    <col min="2036" max="2036" width="52" style="29" customWidth="1"/>
    <col min="2037" max="2039" width="0" style="29" hidden="1" customWidth="1"/>
    <col min="2040" max="2040" width="13" style="29" customWidth="1"/>
    <col min="2041" max="2043" width="12" style="29" customWidth="1"/>
    <col min="2044" max="2044" width="13.5703125" style="29" customWidth="1"/>
    <col min="2045" max="2045" width="12" style="29" customWidth="1"/>
    <col min="2046" max="2046" width="16" style="29" customWidth="1"/>
    <col min="2047" max="2047" width="14.28515625" style="29" customWidth="1"/>
    <col min="2048" max="2290" width="12" style="29"/>
    <col min="2291" max="2291" width="18.7109375" style="29" customWidth="1"/>
    <col min="2292" max="2292" width="52" style="29" customWidth="1"/>
    <col min="2293" max="2295" width="0" style="29" hidden="1" customWidth="1"/>
    <col min="2296" max="2296" width="13" style="29" customWidth="1"/>
    <col min="2297" max="2299" width="12" style="29" customWidth="1"/>
    <col min="2300" max="2300" width="13.5703125" style="29" customWidth="1"/>
    <col min="2301" max="2301" width="12" style="29" customWidth="1"/>
    <col min="2302" max="2302" width="16" style="29" customWidth="1"/>
    <col min="2303" max="2303" width="14.28515625" style="29" customWidth="1"/>
    <col min="2304" max="2546" width="12" style="29"/>
    <col min="2547" max="2547" width="18.7109375" style="29" customWidth="1"/>
    <col min="2548" max="2548" width="52" style="29" customWidth="1"/>
    <col min="2549" max="2551" width="0" style="29" hidden="1" customWidth="1"/>
    <col min="2552" max="2552" width="13" style="29" customWidth="1"/>
    <col min="2553" max="2555" width="12" style="29" customWidth="1"/>
    <col min="2556" max="2556" width="13.5703125" style="29" customWidth="1"/>
    <col min="2557" max="2557" width="12" style="29" customWidth="1"/>
    <col min="2558" max="2558" width="16" style="29" customWidth="1"/>
    <col min="2559" max="2559" width="14.28515625" style="29" customWidth="1"/>
    <col min="2560" max="2802" width="12" style="29"/>
    <col min="2803" max="2803" width="18.7109375" style="29" customWidth="1"/>
    <col min="2804" max="2804" width="52" style="29" customWidth="1"/>
    <col min="2805" max="2807" width="0" style="29" hidden="1" customWidth="1"/>
    <col min="2808" max="2808" width="13" style="29" customWidth="1"/>
    <col min="2809" max="2811" width="12" style="29" customWidth="1"/>
    <col min="2812" max="2812" width="13.5703125" style="29" customWidth="1"/>
    <col min="2813" max="2813" width="12" style="29" customWidth="1"/>
    <col min="2814" max="2814" width="16" style="29" customWidth="1"/>
    <col min="2815" max="2815" width="14.28515625" style="29" customWidth="1"/>
    <col min="2816" max="3058" width="12" style="29"/>
    <col min="3059" max="3059" width="18.7109375" style="29" customWidth="1"/>
    <col min="3060" max="3060" width="52" style="29" customWidth="1"/>
    <col min="3061" max="3063" width="0" style="29" hidden="1" customWidth="1"/>
    <col min="3064" max="3064" width="13" style="29" customWidth="1"/>
    <col min="3065" max="3067" width="12" style="29" customWidth="1"/>
    <col min="3068" max="3068" width="13.5703125" style="29" customWidth="1"/>
    <col min="3069" max="3069" width="12" style="29" customWidth="1"/>
    <col min="3070" max="3070" width="16" style="29" customWidth="1"/>
    <col min="3071" max="3071" width="14.28515625" style="29" customWidth="1"/>
    <col min="3072" max="3314" width="12" style="29"/>
    <col min="3315" max="3315" width="18.7109375" style="29" customWidth="1"/>
    <col min="3316" max="3316" width="52" style="29" customWidth="1"/>
    <col min="3317" max="3319" width="0" style="29" hidden="1" customWidth="1"/>
    <col min="3320" max="3320" width="13" style="29" customWidth="1"/>
    <col min="3321" max="3323" width="12" style="29" customWidth="1"/>
    <col min="3324" max="3324" width="13.5703125" style="29" customWidth="1"/>
    <col min="3325" max="3325" width="12" style="29" customWidth="1"/>
    <col min="3326" max="3326" width="16" style="29" customWidth="1"/>
    <col min="3327" max="3327" width="14.28515625" style="29" customWidth="1"/>
    <col min="3328" max="3570" width="12" style="29"/>
    <col min="3571" max="3571" width="18.7109375" style="29" customWidth="1"/>
    <col min="3572" max="3572" width="52" style="29" customWidth="1"/>
    <col min="3573" max="3575" width="0" style="29" hidden="1" customWidth="1"/>
    <col min="3576" max="3576" width="13" style="29" customWidth="1"/>
    <col min="3577" max="3579" width="12" style="29" customWidth="1"/>
    <col min="3580" max="3580" width="13.5703125" style="29" customWidth="1"/>
    <col min="3581" max="3581" width="12" style="29" customWidth="1"/>
    <col min="3582" max="3582" width="16" style="29" customWidth="1"/>
    <col min="3583" max="3583" width="14.28515625" style="29" customWidth="1"/>
    <col min="3584" max="3826" width="12" style="29"/>
    <col min="3827" max="3827" width="18.7109375" style="29" customWidth="1"/>
    <col min="3828" max="3828" width="52" style="29" customWidth="1"/>
    <col min="3829" max="3831" width="0" style="29" hidden="1" customWidth="1"/>
    <col min="3832" max="3832" width="13" style="29" customWidth="1"/>
    <col min="3833" max="3835" width="12" style="29" customWidth="1"/>
    <col min="3836" max="3836" width="13.5703125" style="29" customWidth="1"/>
    <col min="3837" max="3837" width="12" style="29" customWidth="1"/>
    <col min="3838" max="3838" width="16" style="29" customWidth="1"/>
    <col min="3839" max="3839" width="14.28515625" style="29" customWidth="1"/>
    <col min="3840" max="4082" width="12" style="29"/>
    <col min="4083" max="4083" width="18.7109375" style="29" customWidth="1"/>
    <col min="4084" max="4084" width="52" style="29" customWidth="1"/>
    <col min="4085" max="4087" width="0" style="29" hidden="1" customWidth="1"/>
    <col min="4088" max="4088" width="13" style="29" customWidth="1"/>
    <col min="4089" max="4091" width="12" style="29" customWidth="1"/>
    <col min="4092" max="4092" width="13.5703125" style="29" customWidth="1"/>
    <col min="4093" max="4093" width="12" style="29" customWidth="1"/>
    <col min="4094" max="4094" width="16" style="29" customWidth="1"/>
    <col min="4095" max="4095" width="14.28515625" style="29" customWidth="1"/>
    <col min="4096" max="4338" width="12" style="29"/>
    <col min="4339" max="4339" width="18.7109375" style="29" customWidth="1"/>
    <col min="4340" max="4340" width="52" style="29" customWidth="1"/>
    <col min="4341" max="4343" width="0" style="29" hidden="1" customWidth="1"/>
    <col min="4344" max="4344" width="13" style="29" customWidth="1"/>
    <col min="4345" max="4347" width="12" style="29" customWidth="1"/>
    <col min="4348" max="4348" width="13.5703125" style="29" customWidth="1"/>
    <col min="4349" max="4349" width="12" style="29" customWidth="1"/>
    <col min="4350" max="4350" width="16" style="29" customWidth="1"/>
    <col min="4351" max="4351" width="14.28515625" style="29" customWidth="1"/>
    <col min="4352" max="4594" width="12" style="29"/>
    <col min="4595" max="4595" width="18.7109375" style="29" customWidth="1"/>
    <col min="4596" max="4596" width="52" style="29" customWidth="1"/>
    <col min="4597" max="4599" width="0" style="29" hidden="1" customWidth="1"/>
    <col min="4600" max="4600" width="13" style="29" customWidth="1"/>
    <col min="4601" max="4603" width="12" style="29" customWidth="1"/>
    <col min="4604" max="4604" width="13.5703125" style="29" customWidth="1"/>
    <col min="4605" max="4605" width="12" style="29" customWidth="1"/>
    <col min="4606" max="4606" width="16" style="29" customWidth="1"/>
    <col min="4607" max="4607" width="14.28515625" style="29" customWidth="1"/>
    <col min="4608" max="4850" width="12" style="29"/>
    <col min="4851" max="4851" width="18.7109375" style="29" customWidth="1"/>
    <col min="4852" max="4852" width="52" style="29" customWidth="1"/>
    <col min="4853" max="4855" width="0" style="29" hidden="1" customWidth="1"/>
    <col min="4856" max="4856" width="13" style="29" customWidth="1"/>
    <col min="4857" max="4859" width="12" style="29" customWidth="1"/>
    <col min="4860" max="4860" width="13.5703125" style="29" customWidth="1"/>
    <col min="4861" max="4861" width="12" style="29" customWidth="1"/>
    <col min="4862" max="4862" width="16" style="29" customWidth="1"/>
    <col min="4863" max="4863" width="14.28515625" style="29" customWidth="1"/>
    <col min="4864" max="5106" width="12" style="29"/>
    <col min="5107" max="5107" width="18.7109375" style="29" customWidth="1"/>
    <col min="5108" max="5108" width="52" style="29" customWidth="1"/>
    <col min="5109" max="5111" width="0" style="29" hidden="1" customWidth="1"/>
    <col min="5112" max="5112" width="13" style="29" customWidth="1"/>
    <col min="5113" max="5115" width="12" style="29" customWidth="1"/>
    <col min="5116" max="5116" width="13.5703125" style="29" customWidth="1"/>
    <col min="5117" max="5117" width="12" style="29" customWidth="1"/>
    <col min="5118" max="5118" width="16" style="29" customWidth="1"/>
    <col min="5119" max="5119" width="14.28515625" style="29" customWidth="1"/>
    <col min="5120" max="5362" width="12" style="29"/>
    <col min="5363" max="5363" width="18.7109375" style="29" customWidth="1"/>
    <col min="5364" max="5364" width="52" style="29" customWidth="1"/>
    <col min="5365" max="5367" width="0" style="29" hidden="1" customWidth="1"/>
    <col min="5368" max="5368" width="13" style="29" customWidth="1"/>
    <col min="5369" max="5371" width="12" style="29" customWidth="1"/>
    <col min="5372" max="5372" width="13.5703125" style="29" customWidth="1"/>
    <col min="5373" max="5373" width="12" style="29" customWidth="1"/>
    <col min="5374" max="5374" width="16" style="29" customWidth="1"/>
    <col min="5375" max="5375" width="14.28515625" style="29" customWidth="1"/>
    <col min="5376" max="5618" width="12" style="29"/>
    <col min="5619" max="5619" width="18.7109375" style="29" customWidth="1"/>
    <col min="5620" max="5620" width="52" style="29" customWidth="1"/>
    <col min="5621" max="5623" width="0" style="29" hidden="1" customWidth="1"/>
    <col min="5624" max="5624" width="13" style="29" customWidth="1"/>
    <col min="5625" max="5627" width="12" style="29" customWidth="1"/>
    <col min="5628" max="5628" width="13.5703125" style="29" customWidth="1"/>
    <col min="5629" max="5629" width="12" style="29" customWidth="1"/>
    <col min="5630" max="5630" width="16" style="29" customWidth="1"/>
    <col min="5631" max="5631" width="14.28515625" style="29" customWidth="1"/>
    <col min="5632" max="5874" width="12" style="29"/>
    <col min="5875" max="5875" width="18.7109375" style="29" customWidth="1"/>
    <col min="5876" max="5876" width="52" style="29" customWidth="1"/>
    <col min="5877" max="5879" width="0" style="29" hidden="1" customWidth="1"/>
    <col min="5880" max="5880" width="13" style="29" customWidth="1"/>
    <col min="5881" max="5883" width="12" style="29" customWidth="1"/>
    <col min="5884" max="5884" width="13.5703125" style="29" customWidth="1"/>
    <col min="5885" max="5885" width="12" style="29" customWidth="1"/>
    <col min="5886" max="5886" width="16" style="29" customWidth="1"/>
    <col min="5887" max="5887" width="14.28515625" style="29" customWidth="1"/>
    <col min="5888" max="6130" width="12" style="29"/>
    <col min="6131" max="6131" width="18.7109375" style="29" customWidth="1"/>
    <col min="6132" max="6132" width="52" style="29" customWidth="1"/>
    <col min="6133" max="6135" width="0" style="29" hidden="1" customWidth="1"/>
    <col min="6136" max="6136" width="13" style="29" customWidth="1"/>
    <col min="6137" max="6139" width="12" style="29" customWidth="1"/>
    <col min="6140" max="6140" width="13.5703125" style="29" customWidth="1"/>
    <col min="6141" max="6141" width="12" style="29" customWidth="1"/>
    <col min="6142" max="6142" width="16" style="29" customWidth="1"/>
    <col min="6143" max="6143" width="14.28515625" style="29" customWidth="1"/>
    <col min="6144" max="6386" width="12" style="29"/>
    <col min="6387" max="6387" width="18.7109375" style="29" customWidth="1"/>
    <col min="6388" max="6388" width="52" style="29" customWidth="1"/>
    <col min="6389" max="6391" width="0" style="29" hidden="1" customWidth="1"/>
    <col min="6392" max="6392" width="13" style="29" customWidth="1"/>
    <col min="6393" max="6395" width="12" style="29" customWidth="1"/>
    <col min="6396" max="6396" width="13.5703125" style="29" customWidth="1"/>
    <col min="6397" max="6397" width="12" style="29" customWidth="1"/>
    <col min="6398" max="6398" width="16" style="29" customWidth="1"/>
    <col min="6399" max="6399" width="14.28515625" style="29" customWidth="1"/>
    <col min="6400" max="6642" width="12" style="29"/>
    <col min="6643" max="6643" width="18.7109375" style="29" customWidth="1"/>
    <col min="6644" max="6644" width="52" style="29" customWidth="1"/>
    <col min="6645" max="6647" width="0" style="29" hidden="1" customWidth="1"/>
    <col min="6648" max="6648" width="13" style="29" customWidth="1"/>
    <col min="6649" max="6651" width="12" style="29" customWidth="1"/>
    <col min="6652" max="6652" width="13.5703125" style="29" customWidth="1"/>
    <col min="6653" max="6653" width="12" style="29" customWidth="1"/>
    <col min="6654" max="6654" width="16" style="29" customWidth="1"/>
    <col min="6655" max="6655" width="14.28515625" style="29" customWidth="1"/>
    <col min="6656" max="6898" width="12" style="29"/>
    <col min="6899" max="6899" width="18.7109375" style="29" customWidth="1"/>
    <col min="6900" max="6900" width="52" style="29" customWidth="1"/>
    <col min="6901" max="6903" width="0" style="29" hidden="1" customWidth="1"/>
    <col min="6904" max="6904" width="13" style="29" customWidth="1"/>
    <col min="6905" max="6907" width="12" style="29" customWidth="1"/>
    <col min="6908" max="6908" width="13.5703125" style="29" customWidth="1"/>
    <col min="6909" max="6909" width="12" style="29" customWidth="1"/>
    <col min="6910" max="6910" width="16" style="29" customWidth="1"/>
    <col min="6911" max="6911" width="14.28515625" style="29" customWidth="1"/>
    <col min="6912" max="7154" width="12" style="29"/>
    <col min="7155" max="7155" width="18.7109375" style="29" customWidth="1"/>
    <col min="7156" max="7156" width="52" style="29" customWidth="1"/>
    <col min="7157" max="7159" width="0" style="29" hidden="1" customWidth="1"/>
    <col min="7160" max="7160" width="13" style="29" customWidth="1"/>
    <col min="7161" max="7163" width="12" style="29" customWidth="1"/>
    <col min="7164" max="7164" width="13.5703125" style="29" customWidth="1"/>
    <col min="7165" max="7165" width="12" style="29" customWidth="1"/>
    <col min="7166" max="7166" width="16" style="29" customWidth="1"/>
    <col min="7167" max="7167" width="14.28515625" style="29" customWidth="1"/>
    <col min="7168" max="7410" width="12" style="29"/>
    <col min="7411" max="7411" width="18.7109375" style="29" customWidth="1"/>
    <col min="7412" max="7412" width="52" style="29" customWidth="1"/>
    <col min="7413" max="7415" width="0" style="29" hidden="1" customWidth="1"/>
    <col min="7416" max="7416" width="13" style="29" customWidth="1"/>
    <col min="7417" max="7419" width="12" style="29" customWidth="1"/>
    <col min="7420" max="7420" width="13.5703125" style="29" customWidth="1"/>
    <col min="7421" max="7421" width="12" style="29" customWidth="1"/>
    <col min="7422" max="7422" width="16" style="29" customWidth="1"/>
    <col min="7423" max="7423" width="14.28515625" style="29" customWidth="1"/>
    <col min="7424" max="7666" width="12" style="29"/>
    <col min="7667" max="7667" width="18.7109375" style="29" customWidth="1"/>
    <col min="7668" max="7668" width="52" style="29" customWidth="1"/>
    <col min="7669" max="7671" width="0" style="29" hidden="1" customWidth="1"/>
    <col min="7672" max="7672" width="13" style="29" customWidth="1"/>
    <col min="7673" max="7675" width="12" style="29" customWidth="1"/>
    <col min="7676" max="7676" width="13.5703125" style="29" customWidth="1"/>
    <col min="7677" max="7677" width="12" style="29" customWidth="1"/>
    <col min="7678" max="7678" width="16" style="29" customWidth="1"/>
    <col min="7679" max="7679" width="14.28515625" style="29" customWidth="1"/>
    <col min="7680" max="7922" width="12" style="29"/>
    <col min="7923" max="7923" width="18.7109375" style="29" customWidth="1"/>
    <col min="7924" max="7924" width="52" style="29" customWidth="1"/>
    <col min="7925" max="7927" width="0" style="29" hidden="1" customWidth="1"/>
    <col min="7928" max="7928" width="13" style="29" customWidth="1"/>
    <col min="7929" max="7931" width="12" style="29" customWidth="1"/>
    <col min="7932" max="7932" width="13.5703125" style="29" customWidth="1"/>
    <col min="7933" max="7933" width="12" style="29" customWidth="1"/>
    <col min="7934" max="7934" width="16" style="29" customWidth="1"/>
    <col min="7935" max="7935" width="14.28515625" style="29" customWidth="1"/>
    <col min="7936" max="8178" width="12" style="29"/>
    <col min="8179" max="8179" width="18.7109375" style="29" customWidth="1"/>
    <col min="8180" max="8180" width="52" style="29" customWidth="1"/>
    <col min="8181" max="8183" width="0" style="29" hidden="1" customWidth="1"/>
    <col min="8184" max="8184" width="13" style="29" customWidth="1"/>
    <col min="8185" max="8187" width="12" style="29" customWidth="1"/>
    <col min="8188" max="8188" width="13.5703125" style="29" customWidth="1"/>
    <col min="8189" max="8189" width="12" style="29" customWidth="1"/>
    <col min="8190" max="8190" width="16" style="29" customWidth="1"/>
    <col min="8191" max="8191" width="14.28515625" style="29" customWidth="1"/>
    <col min="8192" max="8434" width="12" style="29"/>
    <col min="8435" max="8435" width="18.7109375" style="29" customWidth="1"/>
    <col min="8436" max="8436" width="52" style="29" customWidth="1"/>
    <col min="8437" max="8439" width="0" style="29" hidden="1" customWidth="1"/>
    <col min="8440" max="8440" width="13" style="29" customWidth="1"/>
    <col min="8441" max="8443" width="12" style="29" customWidth="1"/>
    <col min="8444" max="8444" width="13.5703125" style="29" customWidth="1"/>
    <col min="8445" max="8445" width="12" style="29" customWidth="1"/>
    <col min="8446" max="8446" width="16" style="29" customWidth="1"/>
    <col min="8447" max="8447" width="14.28515625" style="29" customWidth="1"/>
    <col min="8448" max="8690" width="12" style="29"/>
    <col min="8691" max="8691" width="18.7109375" style="29" customWidth="1"/>
    <col min="8692" max="8692" width="52" style="29" customWidth="1"/>
    <col min="8693" max="8695" width="0" style="29" hidden="1" customWidth="1"/>
    <col min="8696" max="8696" width="13" style="29" customWidth="1"/>
    <col min="8697" max="8699" width="12" style="29" customWidth="1"/>
    <col min="8700" max="8700" width="13.5703125" style="29" customWidth="1"/>
    <col min="8701" max="8701" width="12" style="29" customWidth="1"/>
    <col min="8702" max="8702" width="16" style="29" customWidth="1"/>
    <col min="8703" max="8703" width="14.28515625" style="29" customWidth="1"/>
    <col min="8704" max="8946" width="12" style="29"/>
    <col min="8947" max="8947" width="18.7109375" style="29" customWidth="1"/>
    <col min="8948" max="8948" width="52" style="29" customWidth="1"/>
    <col min="8949" max="8951" width="0" style="29" hidden="1" customWidth="1"/>
    <col min="8952" max="8952" width="13" style="29" customWidth="1"/>
    <col min="8953" max="8955" width="12" style="29" customWidth="1"/>
    <col min="8956" max="8956" width="13.5703125" style="29" customWidth="1"/>
    <col min="8957" max="8957" width="12" style="29" customWidth="1"/>
    <col min="8958" max="8958" width="16" style="29" customWidth="1"/>
    <col min="8959" max="8959" width="14.28515625" style="29" customWidth="1"/>
    <col min="8960" max="9202" width="12" style="29"/>
    <col min="9203" max="9203" width="18.7109375" style="29" customWidth="1"/>
    <col min="9204" max="9204" width="52" style="29" customWidth="1"/>
    <col min="9205" max="9207" width="0" style="29" hidden="1" customWidth="1"/>
    <col min="9208" max="9208" width="13" style="29" customWidth="1"/>
    <col min="9209" max="9211" width="12" style="29" customWidth="1"/>
    <col min="9212" max="9212" width="13.5703125" style="29" customWidth="1"/>
    <col min="9213" max="9213" width="12" style="29" customWidth="1"/>
    <col min="9214" max="9214" width="16" style="29" customWidth="1"/>
    <col min="9215" max="9215" width="14.28515625" style="29" customWidth="1"/>
    <col min="9216" max="9458" width="12" style="29"/>
    <col min="9459" max="9459" width="18.7109375" style="29" customWidth="1"/>
    <col min="9460" max="9460" width="52" style="29" customWidth="1"/>
    <col min="9461" max="9463" width="0" style="29" hidden="1" customWidth="1"/>
    <col min="9464" max="9464" width="13" style="29" customWidth="1"/>
    <col min="9465" max="9467" width="12" style="29" customWidth="1"/>
    <col min="9468" max="9468" width="13.5703125" style="29" customWidth="1"/>
    <col min="9469" max="9469" width="12" style="29" customWidth="1"/>
    <col min="9470" max="9470" width="16" style="29" customWidth="1"/>
    <col min="9471" max="9471" width="14.28515625" style="29" customWidth="1"/>
    <col min="9472" max="9714" width="12" style="29"/>
    <col min="9715" max="9715" width="18.7109375" style="29" customWidth="1"/>
    <col min="9716" max="9716" width="52" style="29" customWidth="1"/>
    <col min="9717" max="9719" width="0" style="29" hidden="1" customWidth="1"/>
    <col min="9720" max="9720" width="13" style="29" customWidth="1"/>
    <col min="9721" max="9723" width="12" style="29" customWidth="1"/>
    <col min="9724" max="9724" width="13.5703125" style="29" customWidth="1"/>
    <col min="9725" max="9725" width="12" style="29" customWidth="1"/>
    <col min="9726" max="9726" width="16" style="29" customWidth="1"/>
    <col min="9727" max="9727" width="14.28515625" style="29" customWidth="1"/>
    <col min="9728" max="9970" width="12" style="29"/>
    <col min="9971" max="9971" width="18.7109375" style="29" customWidth="1"/>
    <col min="9972" max="9972" width="52" style="29" customWidth="1"/>
    <col min="9973" max="9975" width="0" style="29" hidden="1" customWidth="1"/>
    <col min="9976" max="9976" width="13" style="29" customWidth="1"/>
    <col min="9977" max="9979" width="12" style="29" customWidth="1"/>
    <col min="9980" max="9980" width="13.5703125" style="29" customWidth="1"/>
    <col min="9981" max="9981" width="12" style="29" customWidth="1"/>
    <col min="9982" max="9982" width="16" style="29" customWidth="1"/>
    <col min="9983" max="9983" width="14.28515625" style="29" customWidth="1"/>
    <col min="9984" max="10226" width="12" style="29"/>
    <col min="10227" max="10227" width="18.7109375" style="29" customWidth="1"/>
    <col min="10228" max="10228" width="52" style="29" customWidth="1"/>
    <col min="10229" max="10231" width="0" style="29" hidden="1" customWidth="1"/>
    <col min="10232" max="10232" width="13" style="29" customWidth="1"/>
    <col min="10233" max="10235" width="12" style="29" customWidth="1"/>
    <col min="10236" max="10236" width="13.5703125" style="29" customWidth="1"/>
    <col min="10237" max="10237" width="12" style="29" customWidth="1"/>
    <col min="10238" max="10238" width="16" style="29" customWidth="1"/>
    <col min="10239" max="10239" width="14.28515625" style="29" customWidth="1"/>
    <col min="10240" max="10482" width="12" style="29"/>
    <col min="10483" max="10483" width="18.7109375" style="29" customWidth="1"/>
    <col min="10484" max="10484" width="52" style="29" customWidth="1"/>
    <col min="10485" max="10487" width="0" style="29" hidden="1" customWidth="1"/>
    <col min="10488" max="10488" width="13" style="29" customWidth="1"/>
    <col min="10489" max="10491" width="12" style="29" customWidth="1"/>
    <col min="10492" max="10492" width="13.5703125" style="29" customWidth="1"/>
    <col min="10493" max="10493" width="12" style="29" customWidth="1"/>
    <col min="10494" max="10494" width="16" style="29" customWidth="1"/>
    <col min="10495" max="10495" width="14.28515625" style="29" customWidth="1"/>
    <col min="10496" max="10738" width="12" style="29"/>
    <col min="10739" max="10739" width="18.7109375" style="29" customWidth="1"/>
    <col min="10740" max="10740" width="52" style="29" customWidth="1"/>
    <col min="10741" max="10743" width="0" style="29" hidden="1" customWidth="1"/>
    <col min="10744" max="10744" width="13" style="29" customWidth="1"/>
    <col min="10745" max="10747" width="12" style="29" customWidth="1"/>
    <col min="10748" max="10748" width="13.5703125" style="29" customWidth="1"/>
    <col min="10749" max="10749" width="12" style="29" customWidth="1"/>
    <col min="10750" max="10750" width="16" style="29" customWidth="1"/>
    <col min="10751" max="10751" width="14.28515625" style="29" customWidth="1"/>
    <col min="10752" max="10994" width="12" style="29"/>
    <col min="10995" max="10995" width="18.7109375" style="29" customWidth="1"/>
    <col min="10996" max="10996" width="52" style="29" customWidth="1"/>
    <col min="10997" max="10999" width="0" style="29" hidden="1" customWidth="1"/>
    <col min="11000" max="11000" width="13" style="29" customWidth="1"/>
    <col min="11001" max="11003" width="12" style="29" customWidth="1"/>
    <col min="11004" max="11004" width="13.5703125" style="29" customWidth="1"/>
    <col min="11005" max="11005" width="12" style="29" customWidth="1"/>
    <col min="11006" max="11006" width="16" style="29" customWidth="1"/>
    <col min="11007" max="11007" width="14.28515625" style="29" customWidth="1"/>
    <col min="11008" max="11250" width="12" style="29"/>
    <col min="11251" max="11251" width="18.7109375" style="29" customWidth="1"/>
    <col min="11252" max="11252" width="52" style="29" customWidth="1"/>
    <col min="11253" max="11255" width="0" style="29" hidden="1" customWidth="1"/>
    <col min="11256" max="11256" width="13" style="29" customWidth="1"/>
    <col min="11257" max="11259" width="12" style="29" customWidth="1"/>
    <col min="11260" max="11260" width="13.5703125" style="29" customWidth="1"/>
    <col min="11261" max="11261" width="12" style="29" customWidth="1"/>
    <col min="11262" max="11262" width="16" style="29" customWidth="1"/>
    <col min="11263" max="11263" width="14.28515625" style="29" customWidth="1"/>
    <col min="11264" max="11506" width="12" style="29"/>
    <col min="11507" max="11507" width="18.7109375" style="29" customWidth="1"/>
    <col min="11508" max="11508" width="52" style="29" customWidth="1"/>
    <col min="11509" max="11511" width="0" style="29" hidden="1" customWidth="1"/>
    <col min="11512" max="11512" width="13" style="29" customWidth="1"/>
    <col min="11513" max="11515" width="12" style="29" customWidth="1"/>
    <col min="11516" max="11516" width="13.5703125" style="29" customWidth="1"/>
    <col min="11517" max="11517" width="12" style="29" customWidth="1"/>
    <col min="11518" max="11518" width="16" style="29" customWidth="1"/>
    <col min="11519" max="11519" width="14.28515625" style="29" customWidth="1"/>
    <col min="11520" max="11762" width="12" style="29"/>
    <col min="11763" max="11763" width="18.7109375" style="29" customWidth="1"/>
    <col min="11764" max="11764" width="52" style="29" customWidth="1"/>
    <col min="11765" max="11767" width="0" style="29" hidden="1" customWidth="1"/>
    <col min="11768" max="11768" width="13" style="29" customWidth="1"/>
    <col min="11769" max="11771" width="12" style="29" customWidth="1"/>
    <col min="11772" max="11772" width="13.5703125" style="29" customWidth="1"/>
    <col min="11773" max="11773" width="12" style="29" customWidth="1"/>
    <col min="11774" max="11774" width="16" style="29" customWidth="1"/>
    <col min="11775" max="11775" width="14.28515625" style="29" customWidth="1"/>
    <col min="11776" max="12018" width="12" style="29"/>
    <col min="12019" max="12019" width="18.7109375" style="29" customWidth="1"/>
    <col min="12020" max="12020" width="52" style="29" customWidth="1"/>
    <col min="12021" max="12023" width="0" style="29" hidden="1" customWidth="1"/>
    <col min="12024" max="12024" width="13" style="29" customWidth="1"/>
    <col min="12025" max="12027" width="12" style="29" customWidth="1"/>
    <col min="12028" max="12028" width="13.5703125" style="29" customWidth="1"/>
    <col min="12029" max="12029" width="12" style="29" customWidth="1"/>
    <col min="12030" max="12030" width="16" style="29" customWidth="1"/>
    <col min="12031" max="12031" width="14.28515625" style="29" customWidth="1"/>
    <col min="12032" max="12274" width="12" style="29"/>
    <col min="12275" max="12275" width="18.7109375" style="29" customWidth="1"/>
    <col min="12276" max="12276" width="52" style="29" customWidth="1"/>
    <col min="12277" max="12279" width="0" style="29" hidden="1" customWidth="1"/>
    <col min="12280" max="12280" width="13" style="29" customWidth="1"/>
    <col min="12281" max="12283" width="12" style="29" customWidth="1"/>
    <col min="12284" max="12284" width="13.5703125" style="29" customWidth="1"/>
    <col min="12285" max="12285" width="12" style="29" customWidth="1"/>
    <col min="12286" max="12286" width="16" style="29" customWidth="1"/>
    <col min="12287" max="12287" width="14.28515625" style="29" customWidth="1"/>
    <col min="12288" max="12530" width="12" style="29"/>
    <col min="12531" max="12531" width="18.7109375" style="29" customWidth="1"/>
    <col min="12532" max="12532" width="52" style="29" customWidth="1"/>
    <col min="12533" max="12535" width="0" style="29" hidden="1" customWidth="1"/>
    <col min="12536" max="12536" width="13" style="29" customWidth="1"/>
    <col min="12537" max="12539" width="12" style="29" customWidth="1"/>
    <col min="12540" max="12540" width="13.5703125" style="29" customWidth="1"/>
    <col min="12541" max="12541" width="12" style="29" customWidth="1"/>
    <col min="12542" max="12542" width="16" style="29" customWidth="1"/>
    <col min="12543" max="12543" width="14.28515625" style="29" customWidth="1"/>
    <col min="12544" max="12786" width="12" style="29"/>
    <col min="12787" max="12787" width="18.7109375" style="29" customWidth="1"/>
    <col min="12788" max="12788" width="52" style="29" customWidth="1"/>
    <col min="12789" max="12791" width="0" style="29" hidden="1" customWidth="1"/>
    <col min="12792" max="12792" width="13" style="29" customWidth="1"/>
    <col min="12793" max="12795" width="12" style="29" customWidth="1"/>
    <col min="12796" max="12796" width="13.5703125" style="29" customWidth="1"/>
    <col min="12797" max="12797" width="12" style="29" customWidth="1"/>
    <col min="12798" max="12798" width="16" style="29" customWidth="1"/>
    <col min="12799" max="12799" width="14.28515625" style="29" customWidth="1"/>
    <col min="12800" max="13042" width="12" style="29"/>
    <col min="13043" max="13043" width="18.7109375" style="29" customWidth="1"/>
    <col min="13044" max="13044" width="52" style="29" customWidth="1"/>
    <col min="13045" max="13047" width="0" style="29" hidden="1" customWidth="1"/>
    <col min="13048" max="13048" width="13" style="29" customWidth="1"/>
    <col min="13049" max="13051" width="12" style="29" customWidth="1"/>
    <col min="13052" max="13052" width="13.5703125" style="29" customWidth="1"/>
    <col min="13053" max="13053" width="12" style="29" customWidth="1"/>
    <col min="13054" max="13054" width="16" style="29" customWidth="1"/>
    <col min="13055" max="13055" width="14.28515625" style="29" customWidth="1"/>
    <col min="13056" max="13298" width="12" style="29"/>
    <col min="13299" max="13299" width="18.7109375" style="29" customWidth="1"/>
    <col min="13300" max="13300" width="52" style="29" customWidth="1"/>
    <col min="13301" max="13303" width="0" style="29" hidden="1" customWidth="1"/>
    <col min="13304" max="13304" width="13" style="29" customWidth="1"/>
    <col min="13305" max="13307" width="12" style="29" customWidth="1"/>
    <col min="13308" max="13308" width="13.5703125" style="29" customWidth="1"/>
    <col min="13309" max="13309" width="12" style="29" customWidth="1"/>
    <col min="13310" max="13310" width="16" style="29" customWidth="1"/>
    <col min="13311" max="13311" width="14.28515625" style="29" customWidth="1"/>
    <col min="13312" max="13554" width="12" style="29"/>
    <col min="13555" max="13555" width="18.7109375" style="29" customWidth="1"/>
    <col min="13556" max="13556" width="52" style="29" customWidth="1"/>
    <col min="13557" max="13559" width="0" style="29" hidden="1" customWidth="1"/>
    <col min="13560" max="13560" width="13" style="29" customWidth="1"/>
    <col min="13561" max="13563" width="12" style="29" customWidth="1"/>
    <col min="13564" max="13564" width="13.5703125" style="29" customWidth="1"/>
    <col min="13565" max="13565" width="12" style="29" customWidth="1"/>
    <col min="13566" max="13566" width="16" style="29" customWidth="1"/>
    <col min="13567" max="13567" width="14.28515625" style="29" customWidth="1"/>
    <col min="13568" max="13810" width="12" style="29"/>
    <col min="13811" max="13811" width="18.7109375" style="29" customWidth="1"/>
    <col min="13812" max="13812" width="52" style="29" customWidth="1"/>
    <col min="13813" max="13815" width="0" style="29" hidden="1" customWidth="1"/>
    <col min="13816" max="13816" width="13" style="29" customWidth="1"/>
    <col min="13817" max="13819" width="12" style="29" customWidth="1"/>
    <col min="13820" max="13820" width="13.5703125" style="29" customWidth="1"/>
    <col min="13821" max="13821" width="12" style="29" customWidth="1"/>
    <col min="13822" max="13822" width="16" style="29" customWidth="1"/>
    <col min="13823" max="13823" width="14.28515625" style="29" customWidth="1"/>
    <col min="13824" max="14066" width="12" style="29"/>
    <col min="14067" max="14067" width="18.7109375" style="29" customWidth="1"/>
    <col min="14068" max="14068" width="52" style="29" customWidth="1"/>
    <col min="14069" max="14071" width="0" style="29" hidden="1" customWidth="1"/>
    <col min="14072" max="14072" width="13" style="29" customWidth="1"/>
    <col min="14073" max="14075" width="12" style="29" customWidth="1"/>
    <col min="14076" max="14076" width="13.5703125" style="29" customWidth="1"/>
    <col min="14077" max="14077" width="12" style="29" customWidth="1"/>
    <col min="14078" max="14078" width="16" style="29" customWidth="1"/>
    <col min="14079" max="14079" width="14.28515625" style="29" customWidth="1"/>
    <col min="14080" max="14322" width="12" style="29"/>
    <col min="14323" max="14323" width="18.7109375" style="29" customWidth="1"/>
    <col min="14324" max="14324" width="52" style="29" customWidth="1"/>
    <col min="14325" max="14327" width="0" style="29" hidden="1" customWidth="1"/>
    <col min="14328" max="14328" width="13" style="29" customWidth="1"/>
    <col min="14329" max="14331" width="12" style="29" customWidth="1"/>
    <col min="14332" max="14332" width="13.5703125" style="29" customWidth="1"/>
    <col min="14333" max="14333" width="12" style="29" customWidth="1"/>
    <col min="14334" max="14334" width="16" style="29" customWidth="1"/>
    <col min="14335" max="14335" width="14.28515625" style="29" customWidth="1"/>
    <col min="14336" max="14578" width="12" style="29"/>
    <col min="14579" max="14579" width="18.7109375" style="29" customWidth="1"/>
    <col min="14580" max="14580" width="52" style="29" customWidth="1"/>
    <col min="14581" max="14583" width="0" style="29" hidden="1" customWidth="1"/>
    <col min="14584" max="14584" width="13" style="29" customWidth="1"/>
    <col min="14585" max="14587" width="12" style="29" customWidth="1"/>
    <col min="14588" max="14588" width="13.5703125" style="29" customWidth="1"/>
    <col min="14589" max="14589" width="12" style="29" customWidth="1"/>
    <col min="14590" max="14590" width="16" style="29" customWidth="1"/>
    <col min="14591" max="14591" width="14.28515625" style="29" customWidth="1"/>
    <col min="14592" max="14834" width="12" style="29"/>
    <col min="14835" max="14835" width="18.7109375" style="29" customWidth="1"/>
    <col min="14836" max="14836" width="52" style="29" customWidth="1"/>
    <col min="14837" max="14839" width="0" style="29" hidden="1" customWidth="1"/>
    <col min="14840" max="14840" width="13" style="29" customWidth="1"/>
    <col min="14841" max="14843" width="12" style="29" customWidth="1"/>
    <col min="14844" max="14844" width="13.5703125" style="29" customWidth="1"/>
    <col min="14845" max="14845" width="12" style="29" customWidth="1"/>
    <col min="14846" max="14846" width="16" style="29" customWidth="1"/>
    <col min="14847" max="14847" width="14.28515625" style="29" customWidth="1"/>
    <col min="14848" max="15090" width="12" style="29"/>
    <col min="15091" max="15091" width="18.7109375" style="29" customWidth="1"/>
    <col min="15092" max="15092" width="52" style="29" customWidth="1"/>
    <col min="15093" max="15095" width="0" style="29" hidden="1" customWidth="1"/>
    <col min="15096" max="15096" width="13" style="29" customWidth="1"/>
    <col min="15097" max="15099" width="12" style="29" customWidth="1"/>
    <col min="15100" max="15100" width="13.5703125" style="29" customWidth="1"/>
    <col min="15101" max="15101" width="12" style="29" customWidth="1"/>
    <col min="15102" max="15102" width="16" style="29" customWidth="1"/>
    <col min="15103" max="15103" width="14.28515625" style="29" customWidth="1"/>
    <col min="15104" max="15346" width="12" style="29"/>
    <col min="15347" max="15347" width="18.7109375" style="29" customWidth="1"/>
    <col min="15348" max="15348" width="52" style="29" customWidth="1"/>
    <col min="15349" max="15351" width="0" style="29" hidden="1" customWidth="1"/>
    <col min="15352" max="15352" width="13" style="29" customWidth="1"/>
    <col min="15353" max="15355" width="12" style="29" customWidth="1"/>
    <col min="15356" max="15356" width="13.5703125" style="29" customWidth="1"/>
    <col min="15357" max="15357" width="12" style="29" customWidth="1"/>
    <col min="15358" max="15358" width="16" style="29" customWidth="1"/>
    <col min="15359" max="15359" width="14.28515625" style="29" customWidth="1"/>
    <col min="15360" max="15602" width="12" style="29"/>
    <col min="15603" max="15603" width="18.7109375" style="29" customWidth="1"/>
    <col min="15604" max="15604" width="52" style="29" customWidth="1"/>
    <col min="15605" max="15607" width="0" style="29" hidden="1" customWidth="1"/>
    <col min="15608" max="15608" width="13" style="29" customWidth="1"/>
    <col min="15609" max="15611" width="12" style="29" customWidth="1"/>
    <col min="15612" max="15612" width="13.5703125" style="29" customWidth="1"/>
    <col min="15613" max="15613" width="12" style="29" customWidth="1"/>
    <col min="15614" max="15614" width="16" style="29" customWidth="1"/>
    <col min="15615" max="15615" width="14.28515625" style="29" customWidth="1"/>
    <col min="15616" max="15858" width="12" style="29"/>
    <col min="15859" max="15859" width="18.7109375" style="29" customWidth="1"/>
    <col min="15860" max="15860" width="52" style="29" customWidth="1"/>
    <col min="15861" max="15863" width="0" style="29" hidden="1" customWidth="1"/>
    <col min="15864" max="15864" width="13" style="29" customWidth="1"/>
    <col min="15865" max="15867" width="12" style="29" customWidth="1"/>
    <col min="15868" max="15868" width="13.5703125" style="29" customWidth="1"/>
    <col min="15869" max="15869" width="12" style="29" customWidth="1"/>
    <col min="15870" max="15870" width="16" style="29" customWidth="1"/>
    <col min="15871" max="15871" width="14.28515625" style="29" customWidth="1"/>
    <col min="15872" max="16114" width="12" style="29"/>
    <col min="16115" max="16115" width="18.7109375" style="29" customWidth="1"/>
    <col min="16116" max="16116" width="52" style="29" customWidth="1"/>
    <col min="16117" max="16119" width="0" style="29" hidden="1" customWidth="1"/>
    <col min="16120" max="16120" width="13" style="29" customWidth="1"/>
    <col min="16121" max="16123" width="12" style="29" customWidth="1"/>
    <col min="16124" max="16124" width="13.5703125" style="29" customWidth="1"/>
    <col min="16125" max="16125" width="12" style="29" customWidth="1"/>
    <col min="16126" max="16126" width="16" style="29" customWidth="1"/>
    <col min="16127" max="16127" width="14.28515625" style="29" customWidth="1"/>
    <col min="16128" max="16384" width="12" style="29"/>
  </cols>
  <sheetData>
    <row r="1" spans="1:4" s="28" customFormat="1" ht="12.75" customHeight="1">
      <c r="A1" s="216" t="s">
        <v>463</v>
      </c>
      <c r="B1" s="217"/>
      <c r="C1" s="217"/>
    </row>
    <row r="2" spans="1:4" s="28" customFormat="1" ht="13.5" customHeight="1">
      <c r="A2" s="218" t="s">
        <v>266</v>
      </c>
      <c r="B2" s="219"/>
      <c r="C2" s="219"/>
    </row>
    <row r="3" spans="1:4" s="28" customFormat="1" ht="11.25" customHeight="1">
      <c r="A3" s="25"/>
      <c r="B3" s="25"/>
      <c r="C3" s="25"/>
    </row>
    <row r="4" spans="1:4" s="30" customFormat="1" ht="12" customHeight="1">
      <c r="A4" s="137" t="s">
        <v>461</v>
      </c>
      <c r="B4" s="136" t="s">
        <v>486</v>
      </c>
      <c r="C4" s="25"/>
      <c r="D4" s="31"/>
    </row>
    <row r="5" spans="1:4" s="28" customFormat="1" ht="12" customHeight="1">
      <c r="A5" s="25"/>
      <c r="B5" s="147"/>
      <c r="C5" s="25"/>
      <c r="D5" s="32"/>
    </row>
    <row r="6" spans="1:4" s="28" customFormat="1" ht="12" customHeight="1">
      <c r="A6" s="137" t="s">
        <v>462</v>
      </c>
      <c r="B6" s="136" t="s">
        <v>487</v>
      </c>
      <c r="C6" s="25"/>
      <c r="D6" s="32"/>
    </row>
    <row r="7" spans="1:4" s="28" customFormat="1" ht="12" customHeight="1">
      <c r="A7" s="25"/>
      <c r="B7" s="147"/>
      <c r="C7" s="25"/>
      <c r="D7" s="32"/>
    </row>
    <row r="8" spans="1:4" s="28" customFormat="1" ht="12" customHeight="1">
      <c r="A8" s="25" t="s">
        <v>267</v>
      </c>
      <c r="B8" s="136"/>
      <c r="C8" s="25"/>
      <c r="D8" s="32"/>
    </row>
    <row r="9" spans="1:4" s="28" customFormat="1" ht="12" customHeight="1">
      <c r="A9" s="25"/>
      <c r="B9" s="147"/>
      <c r="C9" s="25"/>
      <c r="D9" s="32"/>
    </row>
    <row r="10" spans="1:4" s="28" customFormat="1" ht="12" customHeight="1">
      <c r="A10" s="25" t="s">
        <v>268</v>
      </c>
      <c r="B10" s="136">
        <v>2012</v>
      </c>
      <c r="C10" s="25"/>
      <c r="D10" s="32"/>
    </row>
    <row r="11" spans="1:4" s="28" customFormat="1" ht="12" customHeight="1">
      <c r="A11" s="25"/>
      <c r="B11" s="147"/>
      <c r="C11" s="25"/>
      <c r="D11" s="32"/>
    </row>
    <row r="12" spans="1:4" s="28" customFormat="1" ht="12" customHeight="1">
      <c r="A12" s="25" t="s">
        <v>269</v>
      </c>
      <c r="B12" s="136">
        <v>6</v>
      </c>
      <c r="C12" s="25"/>
      <c r="D12" s="32"/>
    </row>
    <row r="13" spans="1:4" s="28" customFormat="1" ht="12" customHeight="1">
      <c r="A13" s="25"/>
      <c r="B13" s="147"/>
      <c r="C13" s="25"/>
      <c r="D13" s="32"/>
    </row>
    <row r="14" spans="1:4" s="30" customFormat="1" ht="12" customHeight="1">
      <c r="A14" s="25" t="s">
        <v>270</v>
      </c>
      <c r="B14" s="136"/>
      <c r="C14" s="25"/>
      <c r="D14" s="31"/>
    </row>
    <row r="15" spans="1:4">
      <c r="A15" s="25"/>
      <c r="B15" s="25"/>
      <c r="C15" s="25"/>
    </row>
    <row r="16" spans="1:4">
      <c r="A16" s="25"/>
      <c r="B16" s="25"/>
      <c r="C16" s="25"/>
    </row>
  </sheetData>
  <mergeCells count="2">
    <mergeCell ref="A1:C1"/>
    <mergeCell ref="A2:C2"/>
  </mergeCells>
  <dataValidations count="4">
    <dataValidation type="list" errorStyle="warning" allowBlank="1" showInputMessage="1" showErrorMessage="1" errorTitle="Error en la entrada" error="Debe seleccionar el año de la lista" sqref="B65495 IJ65495 SF65495 ACB65495 ALX65495 AVT65495 BFP65495 BPL65495 BZH65495 CJD65495 CSZ65495 DCV65495 DMR65495 DWN65495 EGJ65495 EQF65495 FAB65495 FJX65495 FTT65495 GDP65495 GNL65495 GXH65495 HHD65495 HQZ65495 IAV65495 IKR65495 IUN65495 JEJ65495 JOF65495 JYB65495 KHX65495 KRT65495 LBP65495 LLL65495 LVH65495 MFD65495 MOZ65495 MYV65495 NIR65495 NSN65495 OCJ65495 OMF65495 OWB65495 PFX65495 PPT65495 PZP65495 QJL65495 QTH65495 RDD65495 RMZ65495 RWV65495 SGR65495 SQN65495 TAJ65495 TKF65495 TUB65495 UDX65495 UNT65495 UXP65495 VHL65495 VRH65495 WBD65495 WKZ65495 WUV65495 B131031 IJ131031 SF131031 ACB131031 ALX131031 AVT131031 BFP131031 BPL131031 BZH131031 CJD131031 CSZ131031 DCV131031 DMR131031 DWN131031 EGJ131031 EQF131031 FAB131031 FJX131031 FTT131031 GDP131031 GNL131031 GXH131031 HHD131031 HQZ131031 IAV131031 IKR131031 IUN131031 JEJ131031 JOF131031 JYB131031 KHX131031 KRT131031 LBP131031 LLL131031 LVH131031 MFD131031 MOZ131031 MYV131031 NIR131031 NSN131031 OCJ131031 OMF131031 OWB131031 PFX131031 PPT131031 PZP131031 QJL131031 QTH131031 RDD131031 RMZ131031 RWV131031 SGR131031 SQN131031 TAJ131031 TKF131031 TUB131031 UDX131031 UNT131031 UXP131031 VHL131031 VRH131031 WBD131031 WKZ131031 WUV131031 B196567 IJ196567 SF196567 ACB196567 ALX196567 AVT196567 BFP196567 BPL196567 BZH196567 CJD196567 CSZ196567 DCV196567 DMR196567 DWN196567 EGJ196567 EQF196567 FAB196567 FJX196567 FTT196567 GDP196567 GNL196567 GXH196567 HHD196567 HQZ196567 IAV196567 IKR196567 IUN196567 JEJ196567 JOF196567 JYB196567 KHX196567 KRT196567 LBP196567 LLL196567 LVH196567 MFD196567 MOZ196567 MYV196567 NIR196567 NSN196567 OCJ196567 OMF196567 OWB196567 PFX196567 PPT196567 PZP196567 QJL196567 QTH196567 RDD196567 RMZ196567 RWV196567 SGR196567 SQN196567 TAJ196567 TKF196567 TUB196567 UDX196567 UNT196567 UXP196567 VHL196567 VRH196567 WBD196567 WKZ196567 WUV196567 B262103 IJ262103 SF262103 ACB262103 ALX262103 AVT262103 BFP262103 BPL262103 BZH262103 CJD262103 CSZ262103 DCV262103 DMR262103 DWN262103 EGJ262103 EQF262103 FAB262103 FJX262103 FTT262103 GDP262103 GNL262103 GXH262103 HHD262103 HQZ262103 IAV262103 IKR262103 IUN262103 JEJ262103 JOF262103 JYB262103 KHX262103 KRT262103 LBP262103 LLL262103 LVH262103 MFD262103 MOZ262103 MYV262103 NIR262103 NSN262103 OCJ262103 OMF262103 OWB262103 PFX262103 PPT262103 PZP262103 QJL262103 QTH262103 RDD262103 RMZ262103 RWV262103 SGR262103 SQN262103 TAJ262103 TKF262103 TUB262103 UDX262103 UNT262103 UXP262103 VHL262103 VRH262103 WBD262103 WKZ262103 WUV262103 B327639 IJ327639 SF327639 ACB327639 ALX327639 AVT327639 BFP327639 BPL327639 BZH327639 CJD327639 CSZ327639 DCV327639 DMR327639 DWN327639 EGJ327639 EQF327639 FAB327639 FJX327639 FTT327639 GDP327639 GNL327639 GXH327639 HHD327639 HQZ327639 IAV327639 IKR327639 IUN327639 JEJ327639 JOF327639 JYB327639 KHX327639 KRT327639 LBP327639 LLL327639 LVH327639 MFD327639 MOZ327639 MYV327639 NIR327639 NSN327639 OCJ327639 OMF327639 OWB327639 PFX327639 PPT327639 PZP327639 QJL327639 QTH327639 RDD327639 RMZ327639 RWV327639 SGR327639 SQN327639 TAJ327639 TKF327639 TUB327639 UDX327639 UNT327639 UXP327639 VHL327639 VRH327639 WBD327639 WKZ327639 WUV327639 B393175 IJ393175 SF393175 ACB393175 ALX393175 AVT393175 BFP393175 BPL393175 BZH393175 CJD393175 CSZ393175 DCV393175 DMR393175 DWN393175 EGJ393175 EQF393175 FAB393175 FJX393175 FTT393175 GDP393175 GNL393175 GXH393175 HHD393175 HQZ393175 IAV393175 IKR393175 IUN393175 JEJ393175 JOF393175 JYB393175 KHX393175 KRT393175 LBP393175 LLL393175 LVH393175 MFD393175 MOZ393175 MYV393175 NIR393175 NSN393175 OCJ393175 OMF393175 OWB393175 PFX393175 PPT393175 PZP393175 QJL393175 QTH393175 RDD393175 RMZ393175 RWV393175 SGR393175 SQN393175 TAJ393175 TKF393175 TUB393175 UDX393175 UNT393175 UXP393175 VHL393175 VRH393175 WBD393175 WKZ393175 WUV393175 B458711 IJ458711 SF458711 ACB458711 ALX458711 AVT458711 BFP458711 BPL458711 BZH458711 CJD458711 CSZ458711 DCV458711 DMR458711 DWN458711 EGJ458711 EQF458711 FAB458711 FJX458711 FTT458711 GDP458711 GNL458711 GXH458711 HHD458711 HQZ458711 IAV458711 IKR458711 IUN458711 JEJ458711 JOF458711 JYB458711 KHX458711 KRT458711 LBP458711 LLL458711 LVH458711 MFD458711 MOZ458711 MYV458711 NIR458711 NSN458711 OCJ458711 OMF458711 OWB458711 PFX458711 PPT458711 PZP458711 QJL458711 QTH458711 RDD458711 RMZ458711 RWV458711 SGR458711 SQN458711 TAJ458711 TKF458711 TUB458711 UDX458711 UNT458711 UXP458711 VHL458711 VRH458711 WBD458711 WKZ458711 WUV458711 B524247 IJ524247 SF524247 ACB524247 ALX524247 AVT524247 BFP524247 BPL524247 BZH524247 CJD524247 CSZ524247 DCV524247 DMR524247 DWN524247 EGJ524247 EQF524247 FAB524247 FJX524247 FTT524247 GDP524247 GNL524247 GXH524247 HHD524247 HQZ524247 IAV524247 IKR524247 IUN524247 JEJ524247 JOF524247 JYB524247 KHX524247 KRT524247 LBP524247 LLL524247 LVH524247 MFD524247 MOZ524247 MYV524247 NIR524247 NSN524247 OCJ524247 OMF524247 OWB524247 PFX524247 PPT524247 PZP524247 QJL524247 QTH524247 RDD524247 RMZ524247 RWV524247 SGR524247 SQN524247 TAJ524247 TKF524247 TUB524247 UDX524247 UNT524247 UXP524247 VHL524247 VRH524247 WBD524247 WKZ524247 WUV524247 B589783 IJ589783 SF589783 ACB589783 ALX589783 AVT589783 BFP589783 BPL589783 BZH589783 CJD589783 CSZ589783 DCV589783 DMR589783 DWN589783 EGJ589783 EQF589783 FAB589783 FJX589783 FTT589783 GDP589783 GNL589783 GXH589783 HHD589783 HQZ589783 IAV589783 IKR589783 IUN589783 JEJ589783 JOF589783 JYB589783 KHX589783 KRT589783 LBP589783 LLL589783 LVH589783 MFD589783 MOZ589783 MYV589783 NIR589783 NSN589783 OCJ589783 OMF589783 OWB589783 PFX589783 PPT589783 PZP589783 QJL589783 QTH589783 RDD589783 RMZ589783 RWV589783 SGR589783 SQN589783 TAJ589783 TKF589783 TUB589783 UDX589783 UNT589783 UXP589783 VHL589783 VRH589783 WBD589783 WKZ589783 WUV589783 B655319 IJ655319 SF655319 ACB655319 ALX655319 AVT655319 BFP655319 BPL655319 BZH655319 CJD655319 CSZ655319 DCV655319 DMR655319 DWN655319 EGJ655319 EQF655319 FAB655319 FJX655319 FTT655319 GDP655319 GNL655319 GXH655319 HHD655319 HQZ655319 IAV655319 IKR655319 IUN655319 JEJ655319 JOF655319 JYB655319 KHX655319 KRT655319 LBP655319 LLL655319 LVH655319 MFD655319 MOZ655319 MYV655319 NIR655319 NSN655319 OCJ655319 OMF655319 OWB655319 PFX655319 PPT655319 PZP655319 QJL655319 QTH655319 RDD655319 RMZ655319 RWV655319 SGR655319 SQN655319 TAJ655319 TKF655319 TUB655319 UDX655319 UNT655319 UXP655319 VHL655319 VRH655319 WBD655319 WKZ655319 WUV655319 B720855 IJ720855 SF720855 ACB720855 ALX720855 AVT720855 BFP720855 BPL720855 BZH720855 CJD720855 CSZ720855 DCV720855 DMR720855 DWN720855 EGJ720855 EQF720855 FAB720855 FJX720855 FTT720855 GDP720855 GNL720855 GXH720855 HHD720855 HQZ720855 IAV720855 IKR720855 IUN720855 JEJ720855 JOF720855 JYB720855 KHX720855 KRT720855 LBP720855 LLL720855 LVH720855 MFD720855 MOZ720855 MYV720855 NIR720855 NSN720855 OCJ720855 OMF720855 OWB720855 PFX720855 PPT720855 PZP720855 QJL720855 QTH720855 RDD720855 RMZ720855 RWV720855 SGR720855 SQN720855 TAJ720855 TKF720855 TUB720855 UDX720855 UNT720855 UXP720855 VHL720855 VRH720855 WBD720855 WKZ720855 WUV720855 B786391 IJ786391 SF786391 ACB786391 ALX786391 AVT786391 BFP786391 BPL786391 BZH786391 CJD786391 CSZ786391 DCV786391 DMR786391 DWN786391 EGJ786391 EQF786391 FAB786391 FJX786391 FTT786391 GDP786391 GNL786391 GXH786391 HHD786391 HQZ786391 IAV786391 IKR786391 IUN786391 JEJ786391 JOF786391 JYB786391 KHX786391 KRT786391 LBP786391 LLL786391 LVH786391 MFD786391 MOZ786391 MYV786391 NIR786391 NSN786391 OCJ786391 OMF786391 OWB786391 PFX786391 PPT786391 PZP786391 QJL786391 QTH786391 RDD786391 RMZ786391 RWV786391 SGR786391 SQN786391 TAJ786391 TKF786391 TUB786391 UDX786391 UNT786391 UXP786391 VHL786391 VRH786391 WBD786391 WKZ786391 WUV786391 B851927 IJ851927 SF851927 ACB851927 ALX851927 AVT851927 BFP851927 BPL851927 BZH851927 CJD851927 CSZ851927 DCV851927 DMR851927 DWN851927 EGJ851927 EQF851927 FAB851927 FJX851927 FTT851927 GDP851927 GNL851927 GXH851927 HHD851927 HQZ851927 IAV851927 IKR851927 IUN851927 JEJ851927 JOF851927 JYB851927 KHX851927 KRT851927 LBP851927 LLL851927 LVH851927 MFD851927 MOZ851927 MYV851927 NIR851927 NSN851927 OCJ851927 OMF851927 OWB851927 PFX851927 PPT851927 PZP851927 QJL851927 QTH851927 RDD851927 RMZ851927 RWV851927 SGR851927 SQN851927 TAJ851927 TKF851927 TUB851927 UDX851927 UNT851927 UXP851927 VHL851927 VRH851927 WBD851927 WKZ851927 WUV851927 B917463 IJ917463 SF917463 ACB917463 ALX917463 AVT917463 BFP917463 BPL917463 BZH917463 CJD917463 CSZ917463 DCV917463 DMR917463 DWN917463 EGJ917463 EQF917463 FAB917463 FJX917463 FTT917463 GDP917463 GNL917463 GXH917463 HHD917463 HQZ917463 IAV917463 IKR917463 IUN917463 JEJ917463 JOF917463 JYB917463 KHX917463 KRT917463 LBP917463 LLL917463 LVH917463 MFD917463 MOZ917463 MYV917463 NIR917463 NSN917463 OCJ917463 OMF917463 OWB917463 PFX917463 PPT917463 PZP917463 QJL917463 QTH917463 RDD917463 RMZ917463 RWV917463 SGR917463 SQN917463 TAJ917463 TKF917463 TUB917463 UDX917463 UNT917463 UXP917463 VHL917463 VRH917463 WBD917463 WKZ917463 WUV917463 B982999 IJ982999 SF982999 ACB982999 ALX982999 AVT982999 BFP982999 BPL982999 BZH982999 CJD982999 CSZ982999 DCV982999 DMR982999 DWN982999 EGJ982999 EQF982999 FAB982999 FJX982999 FTT982999 GDP982999 GNL982999 GXH982999 HHD982999 HQZ982999 IAV982999 IKR982999 IUN982999 JEJ982999 JOF982999 JYB982999 KHX982999 KRT982999 LBP982999 LLL982999 LVH982999 MFD982999 MOZ982999 MYV982999 NIR982999 NSN982999 OCJ982999 OMF982999 OWB982999 PFX982999 PPT982999 PZP982999 QJL982999 QTH982999 RDD982999 RMZ982999 RWV982999 SGR982999 SQN982999 TAJ982999 TKF982999 TUB982999 UDX982999 UNT982999 UXP982999 VHL982999 VRH982999 WBD982999 WKZ982999 WUV982999">
      <formula1>$A65557:$A65583</formula1>
    </dataValidation>
    <dataValidation type="list" allowBlank="1" showInputMessage="1" showErrorMessage="1" sqref="WUV983001 B131033 B196569 B262105 B327641 B393177 B458713 B524249 B589785 B655321 B720857 B786393 B851929 B917465 B983001 B65497 IQ65502 SM65502 ACI65502 AME65502 AWA65502 BFW65502 BPS65502 BZO65502 CJK65502 CTG65502 DDC65502 DMY65502 DWU65502 EGQ65502 EQM65502 FAI65502 FKE65502 FUA65502 GDW65502 GNS65502 GXO65502 HHK65502 HRG65502 IBC65502 IKY65502 IUU65502 JEQ65502 JOM65502 JYI65502 KIE65502 KSA65502 LBW65502 LLS65502 LVO65502 MFK65502 MPG65502 MZC65502 NIY65502 NSU65502 OCQ65502 OMM65502 OWI65502 PGE65502 PQA65502 PZW65502 QJS65502 QTO65502 RDK65502 RNG65502 RXC65502 SGY65502 SQU65502 TAQ65502 TKM65502 TUI65502 UEE65502 UOA65502 UXW65502 VHS65502 VRO65502 WBK65502 WLG65502 WVC65502 IQ131038 SM131038 ACI131038 AME131038 AWA131038 BFW131038 BPS131038 BZO131038 CJK131038 CTG131038 DDC131038 DMY131038 DWU131038 EGQ131038 EQM131038 FAI131038 FKE131038 FUA131038 GDW131038 GNS131038 GXO131038 HHK131038 HRG131038 IBC131038 IKY131038 IUU131038 JEQ131038 JOM131038 JYI131038 KIE131038 KSA131038 LBW131038 LLS131038 LVO131038 MFK131038 MPG131038 MZC131038 NIY131038 NSU131038 OCQ131038 OMM131038 OWI131038 PGE131038 PQA131038 PZW131038 QJS131038 QTO131038 RDK131038 RNG131038 RXC131038 SGY131038 SQU131038 TAQ131038 TKM131038 TUI131038 UEE131038 UOA131038 UXW131038 VHS131038 VRO131038 WBK131038 WLG131038 WVC131038 IQ196574 SM196574 ACI196574 AME196574 AWA196574 BFW196574 BPS196574 BZO196574 CJK196574 CTG196574 DDC196574 DMY196574 DWU196574 EGQ196574 EQM196574 FAI196574 FKE196574 FUA196574 GDW196574 GNS196574 GXO196574 HHK196574 HRG196574 IBC196574 IKY196574 IUU196574 JEQ196574 JOM196574 JYI196574 KIE196574 KSA196574 LBW196574 LLS196574 LVO196574 MFK196574 MPG196574 MZC196574 NIY196574 NSU196574 OCQ196574 OMM196574 OWI196574 PGE196574 PQA196574 PZW196574 QJS196574 QTO196574 RDK196574 RNG196574 RXC196574 SGY196574 SQU196574 TAQ196574 TKM196574 TUI196574 UEE196574 UOA196574 UXW196574 VHS196574 VRO196574 WBK196574 WLG196574 WVC196574 IQ262110 SM262110 ACI262110 AME262110 AWA262110 BFW262110 BPS262110 BZO262110 CJK262110 CTG262110 DDC262110 DMY262110 DWU262110 EGQ262110 EQM262110 FAI262110 FKE262110 FUA262110 GDW262110 GNS262110 GXO262110 HHK262110 HRG262110 IBC262110 IKY262110 IUU262110 JEQ262110 JOM262110 JYI262110 KIE262110 KSA262110 LBW262110 LLS262110 LVO262110 MFK262110 MPG262110 MZC262110 NIY262110 NSU262110 OCQ262110 OMM262110 OWI262110 PGE262110 PQA262110 PZW262110 QJS262110 QTO262110 RDK262110 RNG262110 RXC262110 SGY262110 SQU262110 TAQ262110 TKM262110 TUI262110 UEE262110 UOA262110 UXW262110 VHS262110 VRO262110 WBK262110 WLG262110 WVC262110 IQ327646 SM327646 ACI327646 AME327646 AWA327646 BFW327646 BPS327646 BZO327646 CJK327646 CTG327646 DDC327646 DMY327646 DWU327646 EGQ327646 EQM327646 FAI327646 FKE327646 FUA327646 GDW327646 GNS327646 GXO327646 HHK327646 HRG327646 IBC327646 IKY327646 IUU327646 JEQ327646 JOM327646 JYI327646 KIE327646 KSA327646 LBW327646 LLS327646 LVO327646 MFK327646 MPG327646 MZC327646 NIY327646 NSU327646 OCQ327646 OMM327646 OWI327646 PGE327646 PQA327646 PZW327646 QJS327646 QTO327646 RDK327646 RNG327646 RXC327646 SGY327646 SQU327646 TAQ327646 TKM327646 TUI327646 UEE327646 UOA327646 UXW327646 VHS327646 VRO327646 WBK327646 WLG327646 WVC327646 IQ393182 SM393182 ACI393182 AME393182 AWA393182 BFW393182 BPS393182 BZO393182 CJK393182 CTG393182 DDC393182 DMY393182 DWU393182 EGQ393182 EQM393182 FAI393182 FKE393182 FUA393182 GDW393182 GNS393182 GXO393182 HHK393182 HRG393182 IBC393182 IKY393182 IUU393182 JEQ393182 JOM393182 JYI393182 KIE393182 KSA393182 LBW393182 LLS393182 LVO393182 MFK393182 MPG393182 MZC393182 NIY393182 NSU393182 OCQ393182 OMM393182 OWI393182 PGE393182 PQA393182 PZW393182 QJS393182 QTO393182 RDK393182 RNG393182 RXC393182 SGY393182 SQU393182 TAQ393182 TKM393182 TUI393182 UEE393182 UOA393182 UXW393182 VHS393182 VRO393182 WBK393182 WLG393182 WVC393182 IQ458718 SM458718 ACI458718 AME458718 AWA458718 BFW458718 BPS458718 BZO458718 CJK458718 CTG458718 DDC458718 DMY458718 DWU458718 EGQ458718 EQM458718 FAI458718 FKE458718 FUA458718 GDW458718 GNS458718 GXO458718 HHK458718 HRG458718 IBC458718 IKY458718 IUU458718 JEQ458718 JOM458718 JYI458718 KIE458718 KSA458718 LBW458718 LLS458718 LVO458718 MFK458718 MPG458718 MZC458718 NIY458718 NSU458718 OCQ458718 OMM458718 OWI458718 PGE458718 PQA458718 PZW458718 QJS458718 QTO458718 RDK458718 RNG458718 RXC458718 SGY458718 SQU458718 TAQ458718 TKM458718 TUI458718 UEE458718 UOA458718 UXW458718 VHS458718 VRO458718 WBK458718 WLG458718 WVC458718 IQ524254 SM524254 ACI524254 AME524254 AWA524254 BFW524254 BPS524254 BZO524254 CJK524254 CTG524254 DDC524254 DMY524254 DWU524254 EGQ524254 EQM524254 FAI524254 FKE524254 FUA524254 GDW524254 GNS524254 GXO524254 HHK524254 HRG524254 IBC524254 IKY524254 IUU524254 JEQ524254 JOM524254 JYI524254 KIE524254 KSA524254 LBW524254 LLS524254 LVO524254 MFK524254 MPG524254 MZC524254 NIY524254 NSU524254 OCQ524254 OMM524254 OWI524254 PGE524254 PQA524254 PZW524254 QJS524254 QTO524254 RDK524254 RNG524254 RXC524254 SGY524254 SQU524254 TAQ524254 TKM524254 TUI524254 UEE524254 UOA524254 UXW524254 VHS524254 VRO524254 WBK524254 WLG524254 WVC524254 IQ589790 SM589790 ACI589790 AME589790 AWA589790 BFW589790 BPS589790 BZO589790 CJK589790 CTG589790 DDC589790 DMY589790 DWU589790 EGQ589790 EQM589790 FAI589790 FKE589790 FUA589790 GDW589790 GNS589790 GXO589790 HHK589790 HRG589790 IBC589790 IKY589790 IUU589790 JEQ589790 JOM589790 JYI589790 KIE589790 KSA589790 LBW589790 LLS589790 LVO589790 MFK589790 MPG589790 MZC589790 NIY589790 NSU589790 OCQ589790 OMM589790 OWI589790 PGE589790 PQA589790 PZW589790 QJS589790 QTO589790 RDK589790 RNG589790 RXC589790 SGY589790 SQU589790 TAQ589790 TKM589790 TUI589790 UEE589790 UOA589790 UXW589790 VHS589790 VRO589790 WBK589790 WLG589790 WVC589790 IQ655326 SM655326 ACI655326 AME655326 AWA655326 BFW655326 BPS655326 BZO655326 CJK655326 CTG655326 DDC655326 DMY655326 DWU655326 EGQ655326 EQM655326 FAI655326 FKE655326 FUA655326 GDW655326 GNS655326 GXO655326 HHK655326 HRG655326 IBC655326 IKY655326 IUU655326 JEQ655326 JOM655326 JYI655326 KIE655326 KSA655326 LBW655326 LLS655326 LVO655326 MFK655326 MPG655326 MZC655326 NIY655326 NSU655326 OCQ655326 OMM655326 OWI655326 PGE655326 PQA655326 PZW655326 QJS655326 QTO655326 RDK655326 RNG655326 RXC655326 SGY655326 SQU655326 TAQ655326 TKM655326 TUI655326 UEE655326 UOA655326 UXW655326 VHS655326 VRO655326 WBK655326 WLG655326 WVC655326 IQ720862 SM720862 ACI720862 AME720862 AWA720862 BFW720862 BPS720862 BZO720862 CJK720862 CTG720862 DDC720862 DMY720862 DWU720862 EGQ720862 EQM720862 FAI720862 FKE720862 FUA720862 GDW720862 GNS720862 GXO720862 HHK720862 HRG720862 IBC720862 IKY720862 IUU720862 JEQ720862 JOM720862 JYI720862 KIE720862 KSA720862 LBW720862 LLS720862 LVO720862 MFK720862 MPG720862 MZC720862 NIY720862 NSU720862 OCQ720862 OMM720862 OWI720862 PGE720862 PQA720862 PZW720862 QJS720862 QTO720862 RDK720862 RNG720862 RXC720862 SGY720862 SQU720862 TAQ720862 TKM720862 TUI720862 UEE720862 UOA720862 UXW720862 VHS720862 VRO720862 WBK720862 WLG720862 WVC720862 IQ786398 SM786398 ACI786398 AME786398 AWA786398 BFW786398 BPS786398 BZO786398 CJK786398 CTG786398 DDC786398 DMY786398 DWU786398 EGQ786398 EQM786398 FAI786398 FKE786398 FUA786398 GDW786398 GNS786398 GXO786398 HHK786398 HRG786398 IBC786398 IKY786398 IUU786398 JEQ786398 JOM786398 JYI786398 KIE786398 KSA786398 LBW786398 LLS786398 LVO786398 MFK786398 MPG786398 MZC786398 NIY786398 NSU786398 OCQ786398 OMM786398 OWI786398 PGE786398 PQA786398 PZW786398 QJS786398 QTO786398 RDK786398 RNG786398 RXC786398 SGY786398 SQU786398 TAQ786398 TKM786398 TUI786398 UEE786398 UOA786398 UXW786398 VHS786398 VRO786398 WBK786398 WLG786398 WVC786398 IQ851934 SM851934 ACI851934 AME851934 AWA851934 BFW851934 BPS851934 BZO851934 CJK851934 CTG851934 DDC851934 DMY851934 DWU851934 EGQ851934 EQM851934 FAI851934 FKE851934 FUA851934 GDW851934 GNS851934 GXO851934 HHK851934 HRG851934 IBC851934 IKY851934 IUU851934 JEQ851934 JOM851934 JYI851934 KIE851934 KSA851934 LBW851934 LLS851934 LVO851934 MFK851934 MPG851934 MZC851934 NIY851934 NSU851934 OCQ851934 OMM851934 OWI851934 PGE851934 PQA851934 PZW851934 QJS851934 QTO851934 RDK851934 RNG851934 RXC851934 SGY851934 SQU851934 TAQ851934 TKM851934 TUI851934 UEE851934 UOA851934 UXW851934 VHS851934 VRO851934 WBK851934 WLG851934 WVC851934 IQ917470 SM917470 ACI917470 AME917470 AWA917470 BFW917470 BPS917470 BZO917470 CJK917470 CTG917470 DDC917470 DMY917470 DWU917470 EGQ917470 EQM917470 FAI917470 FKE917470 FUA917470 GDW917470 GNS917470 GXO917470 HHK917470 HRG917470 IBC917470 IKY917470 IUU917470 JEQ917470 JOM917470 JYI917470 KIE917470 KSA917470 LBW917470 LLS917470 LVO917470 MFK917470 MPG917470 MZC917470 NIY917470 NSU917470 OCQ917470 OMM917470 OWI917470 PGE917470 PQA917470 PZW917470 QJS917470 QTO917470 RDK917470 RNG917470 RXC917470 SGY917470 SQU917470 TAQ917470 TKM917470 TUI917470 UEE917470 UOA917470 UXW917470 VHS917470 VRO917470 WBK917470 WLG917470 WVC917470 IQ983006 SM983006 ACI983006 AME983006 AWA983006 BFW983006 BPS983006 BZO983006 CJK983006 CTG983006 DDC983006 DMY983006 DWU983006 EGQ983006 EQM983006 FAI983006 FKE983006 FUA983006 GDW983006 GNS983006 GXO983006 HHK983006 HRG983006 IBC983006 IKY983006 IUU983006 JEQ983006 JOM983006 JYI983006 KIE983006 KSA983006 LBW983006 LLS983006 LVO983006 MFK983006 MPG983006 MZC983006 NIY983006 NSU983006 OCQ983006 OMM983006 OWI983006 PGE983006 PQA983006 PZW983006 QJS983006 QTO983006 RDK983006 RNG983006 RXC983006 SGY983006 SQU983006 TAQ983006 TKM983006 TUI983006 UEE983006 UOA983006 UXW983006 VHS983006 VRO983006 WBK983006 WLG983006 WVC983006 IJ65497 SF65497 ACB65497 ALX65497 AVT65497 BFP65497 BPL65497 BZH65497 CJD65497 CSZ65497 DCV65497 DMR65497 DWN65497 EGJ65497 EQF65497 FAB65497 FJX65497 FTT65497 GDP65497 GNL65497 GXH65497 HHD65497 HQZ65497 IAV65497 IKR65497 IUN65497 JEJ65497 JOF65497 JYB65497 KHX65497 KRT65497 LBP65497 LLL65497 LVH65497 MFD65497 MOZ65497 MYV65497 NIR65497 NSN65497 OCJ65497 OMF65497 OWB65497 PFX65497 PPT65497 PZP65497 QJL65497 QTH65497 RDD65497 RMZ65497 RWV65497 SGR65497 SQN65497 TAJ65497 TKF65497 TUB65497 UDX65497 UNT65497 UXP65497 VHL65497 VRH65497 WBD65497 WKZ65497 WUV65497 IJ131033 SF131033 ACB131033 ALX131033 AVT131033 BFP131033 BPL131033 BZH131033 CJD131033 CSZ131033 DCV131033 DMR131033 DWN131033 EGJ131033 EQF131033 FAB131033 FJX131033 FTT131033 GDP131033 GNL131033 GXH131033 HHD131033 HQZ131033 IAV131033 IKR131033 IUN131033 JEJ131033 JOF131033 JYB131033 KHX131033 KRT131033 LBP131033 LLL131033 LVH131033 MFD131033 MOZ131033 MYV131033 NIR131033 NSN131033 OCJ131033 OMF131033 OWB131033 PFX131033 PPT131033 PZP131033 QJL131033 QTH131033 RDD131033 RMZ131033 RWV131033 SGR131033 SQN131033 TAJ131033 TKF131033 TUB131033 UDX131033 UNT131033 UXP131033 VHL131033 VRH131033 WBD131033 WKZ131033 WUV131033 IJ196569 SF196569 ACB196569 ALX196569 AVT196569 BFP196569 BPL196569 BZH196569 CJD196569 CSZ196569 DCV196569 DMR196569 DWN196569 EGJ196569 EQF196569 FAB196569 FJX196569 FTT196569 GDP196569 GNL196569 GXH196569 HHD196569 HQZ196569 IAV196569 IKR196569 IUN196569 JEJ196569 JOF196569 JYB196569 KHX196569 KRT196569 LBP196569 LLL196569 LVH196569 MFD196569 MOZ196569 MYV196569 NIR196569 NSN196569 OCJ196569 OMF196569 OWB196569 PFX196569 PPT196569 PZP196569 QJL196569 QTH196569 RDD196569 RMZ196569 RWV196569 SGR196569 SQN196569 TAJ196569 TKF196569 TUB196569 UDX196569 UNT196569 UXP196569 VHL196569 VRH196569 WBD196569 WKZ196569 WUV196569 IJ262105 SF262105 ACB262105 ALX262105 AVT262105 BFP262105 BPL262105 BZH262105 CJD262105 CSZ262105 DCV262105 DMR262105 DWN262105 EGJ262105 EQF262105 FAB262105 FJX262105 FTT262105 GDP262105 GNL262105 GXH262105 HHD262105 HQZ262105 IAV262105 IKR262105 IUN262105 JEJ262105 JOF262105 JYB262105 KHX262105 KRT262105 LBP262105 LLL262105 LVH262105 MFD262105 MOZ262105 MYV262105 NIR262105 NSN262105 OCJ262105 OMF262105 OWB262105 PFX262105 PPT262105 PZP262105 QJL262105 QTH262105 RDD262105 RMZ262105 RWV262105 SGR262105 SQN262105 TAJ262105 TKF262105 TUB262105 UDX262105 UNT262105 UXP262105 VHL262105 VRH262105 WBD262105 WKZ262105 WUV262105 IJ327641 SF327641 ACB327641 ALX327641 AVT327641 BFP327641 BPL327641 BZH327641 CJD327641 CSZ327641 DCV327641 DMR327641 DWN327641 EGJ327641 EQF327641 FAB327641 FJX327641 FTT327641 GDP327641 GNL327641 GXH327641 HHD327641 HQZ327641 IAV327641 IKR327641 IUN327641 JEJ327641 JOF327641 JYB327641 KHX327641 KRT327641 LBP327641 LLL327641 LVH327641 MFD327641 MOZ327641 MYV327641 NIR327641 NSN327641 OCJ327641 OMF327641 OWB327641 PFX327641 PPT327641 PZP327641 QJL327641 QTH327641 RDD327641 RMZ327641 RWV327641 SGR327641 SQN327641 TAJ327641 TKF327641 TUB327641 UDX327641 UNT327641 UXP327641 VHL327641 VRH327641 WBD327641 WKZ327641 WUV327641 IJ393177 SF393177 ACB393177 ALX393177 AVT393177 BFP393177 BPL393177 BZH393177 CJD393177 CSZ393177 DCV393177 DMR393177 DWN393177 EGJ393177 EQF393177 FAB393177 FJX393177 FTT393177 GDP393177 GNL393177 GXH393177 HHD393177 HQZ393177 IAV393177 IKR393177 IUN393177 JEJ393177 JOF393177 JYB393177 KHX393177 KRT393177 LBP393177 LLL393177 LVH393177 MFD393177 MOZ393177 MYV393177 NIR393177 NSN393177 OCJ393177 OMF393177 OWB393177 PFX393177 PPT393177 PZP393177 QJL393177 QTH393177 RDD393177 RMZ393177 RWV393177 SGR393177 SQN393177 TAJ393177 TKF393177 TUB393177 UDX393177 UNT393177 UXP393177 VHL393177 VRH393177 WBD393177 WKZ393177 WUV393177 IJ458713 SF458713 ACB458713 ALX458713 AVT458713 BFP458713 BPL458713 BZH458713 CJD458713 CSZ458713 DCV458713 DMR458713 DWN458713 EGJ458713 EQF458713 FAB458713 FJX458713 FTT458713 GDP458713 GNL458713 GXH458713 HHD458713 HQZ458713 IAV458713 IKR458713 IUN458713 JEJ458713 JOF458713 JYB458713 KHX458713 KRT458713 LBP458713 LLL458713 LVH458713 MFD458713 MOZ458713 MYV458713 NIR458713 NSN458713 OCJ458713 OMF458713 OWB458713 PFX458713 PPT458713 PZP458713 QJL458713 QTH458713 RDD458713 RMZ458713 RWV458713 SGR458713 SQN458713 TAJ458713 TKF458713 TUB458713 UDX458713 UNT458713 UXP458713 VHL458713 VRH458713 WBD458713 WKZ458713 WUV458713 IJ524249 SF524249 ACB524249 ALX524249 AVT524249 BFP524249 BPL524249 BZH524249 CJD524249 CSZ524249 DCV524249 DMR524249 DWN524249 EGJ524249 EQF524249 FAB524249 FJX524249 FTT524249 GDP524249 GNL524249 GXH524249 HHD524249 HQZ524249 IAV524249 IKR524249 IUN524249 JEJ524249 JOF524249 JYB524249 KHX524249 KRT524249 LBP524249 LLL524249 LVH524249 MFD524249 MOZ524249 MYV524249 NIR524249 NSN524249 OCJ524249 OMF524249 OWB524249 PFX524249 PPT524249 PZP524249 QJL524249 QTH524249 RDD524249 RMZ524249 RWV524249 SGR524249 SQN524249 TAJ524249 TKF524249 TUB524249 UDX524249 UNT524249 UXP524249 VHL524249 VRH524249 WBD524249 WKZ524249 WUV524249 IJ589785 SF589785 ACB589785 ALX589785 AVT589785 BFP589785 BPL589785 BZH589785 CJD589785 CSZ589785 DCV589785 DMR589785 DWN589785 EGJ589785 EQF589785 FAB589785 FJX589785 FTT589785 GDP589785 GNL589785 GXH589785 HHD589785 HQZ589785 IAV589785 IKR589785 IUN589785 JEJ589785 JOF589785 JYB589785 KHX589785 KRT589785 LBP589785 LLL589785 LVH589785 MFD589785 MOZ589785 MYV589785 NIR589785 NSN589785 OCJ589785 OMF589785 OWB589785 PFX589785 PPT589785 PZP589785 QJL589785 QTH589785 RDD589785 RMZ589785 RWV589785 SGR589785 SQN589785 TAJ589785 TKF589785 TUB589785 UDX589785 UNT589785 UXP589785 VHL589785 VRH589785 WBD589785 WKZ589785 WUV589785 IJ655321 SF655321 ACB655321 ALX655321 AVT655321 BFP655321 BPL655321 BZH655321 CJD655321 CSZ655321 DCV655321 DMR655321 DWN655321 EGJ655321 EQF655321 FAB655321 FJX655321 FTT655321 GDP655321 GNL655321 GXH655321 HHD655321 HQZ655321 IAV655321 IKR655321 IUN655321 JEJ655321 JOF655321 JYB655321 KHX655321 KRT655321 LBP655321 LLL655321 LVH655321 MFD655321 MOZ655321 MYV655321 NIR655321 NSN655321 OCJ655321 OMF655321 OWB655321 PFX655321 PPT655321 PZP655321 QJL655321 QTH655321 RDD655321 RMZ655321 RWV655321 SGR655321 SQN655321 TAJ655321 TKF655321 TUB655321 UDX655321 UNT655321 UXP655321 VHL655321 VRH655321 WBD655321 WKZ655321 WUV655321 IJ720857 SF720857 ACB720857 ALX720857 AVT720857 BFP720857 BPL720857 BZH720857 CJD720857 CSZ720857 DCV720857 DMR720857 DWN720857 EGJ720857 EQF720857 FAB720857 FJX720857 FTT720857 GDP720857 GNL720857 GXH720857 HHD720857 HQZ720857 IAV720857 IKR720857 IUN720857 JEJ720857 JOF720857 JYB720857 KHX720857 KRT720857 LBP720857 LLL720857 LVH720857 MFD720857 MOZ720857 MYV720857 NIR720857 NSN720857 OCJ720857 OMF720857 OWB720857 PFX720857 PPT720857 PZP720857 QJL720857 QTH720857 RDD720857 RMZ720857 RWV720857 SGR720857 SQN720857 TAJ720857 TKF720857 TUB720857 UDX720857 UNT720857 UXP720857 VHL720857 VRH720857 WBD720857 WKZ720857 WUV720857 IJ786393 SF786393 ACB786393 ALX786393 AVT786393 BFP786393 BPL786393 BZH786393 CJD786393 CSZ786393 DCV786393 DMR786393 DWN786393 EGJ786393 EQF786393 FAB786393 FJX786393 FTT786393 GDP786393 GNL786393 GXH786393 HHD786393 HQZ786393 IAV786393 IKR786393 IUN786393 JEJ786393 JOF786393 JYB786393 KHX786393 KRT786393 LBP786393 LLL786393 LVH786393 MFD786393 MOZ786393 MYV786393 NIR786393 NSN786393 OCJ786393 OMF786393 OWB786393 PFX786393 PPT786393 PZP786393 QJL786393 QTH786393 RDD786393 RMZ786393 RWV786393 SGR786393 SQN786393 TAJ786393 TKF786393 TUB786393 UDX786393 UNT786393 UXP786393 VHL786393 VRH786393 WBD786393 WKZ786393 WUV786393 IJ851929 SF851929 ACB851929 ALX851929 AVT851929 BFP851929 BPL851929 BZH851929 CJD851929 CSZ851929 DCV851929 DMR851929 DWN851929 EGJ851929 EQF851929 FAB851929 FJX851929 FTT851929 GDP851929 GNL851929 GXH851929 HHD851929 HQZ851929 IAV851929 IKR851929 IUN851929 JEJ851929 JOF851929 JYB851929 KHX851929 KRT851929 LBP851929 LLL851929 LVH851929 MFD851929 MOZ851929 MYV851929 NIR851929 NSN851929 OCJ851929 OMF851929 OWB851929 PFX851929 PPT851929 PZP851929 QJL851929 QTH851929 RDD851929 RMZ851929 RWV851929 SGR851929 SQN851929 TAJ851929 TKF851929 TUB851929 UDX851929 UNT851929 UXP851929 VHL851929 VRH851929 WBD851929 WKZ851929 WUV851929 IJ917465 SF917465 ACB917465 ALX917465 AVT917465 BFP917465 BPL917465 BZH917465 CJD917465 CSZ917465 DCV917465 DMR917465 DWN917465 EGJ917465 EQF917465 FAB917465 FJX917465 FTT917465 GDP917465 GNL917465 GXH917465 HHD917465 HQZ917465 IAV917465 IKR917465 IUN917465 JEJ917465 JOF917465 JYB917465 KHX917465 KRT917465 LBP917465 LLL917465 LVH917465 MFD917465 MOZ917465 MYV917465 NIR917465 NSN917465 OCJ917465 OMF917465 OWB917465 PFX917465 PPT917465 PZP917465 QJL917465 QTH917465 RDD917465 RMZ917465 RWV917465 SGR917465 SQN917465 TAJ917465 TKF917465 TUB917465 UDX917465 UNT917465 UXP917465 VHL917465 VRH917465 WBD917465 WKZ917465 WUV917465 IJ983001 SF983001 ACB983001 ALX983001 AVT983001 BFP983001 BPL983001 BZH983001 CJD983001 CSZ983001 DCV983001 DMR983001 DWN983001 EGJ983001 EQF983001 FAB983001 FJX983001 FTT983001 GDP983001 GNL983001 GXH983001 HHD983001 HQZ983001 IAV983001 IKR983001 IUN983001 JEJ983001 JOF983001 JYB983001 KHX983001 KRT983001 LBP983001 LLL983001 LVH983001 MFD983001 MOZ983001 MYV983001 NIR983001 NSN983001 OCJ983001 OMF983001 OWB983001 PFX983001 PPT983001 PZP983001 QJL983001 QTH983001 RDD983001 RMZ983001 RWV983001 SGR983001 SQN983001 TAJ983001 TKF983001 TUB983001 UDX983001 UNT983001 UXP983001 VHL983001 VRH983001 WBD983001 WKZ983001">
      <formula1>#REF!</formula1>
    </dataValidation>
    <dataValidation type="list" errorStyle="warning" allowBlank="1" showInputMessage="1" showErrorMessage="1" errorTitle="Entrada de Datos" error="Debe escoger un valor entre 0 y 4" sqref="WUY982999 IM65495 SI65495 ACE65495 AMA65495 AVW65495 BFS65495 BPO65495 BZK65495 CJG65495 CTC65495 DCY65495 DMU65495 DWQ65495 EGM65495 EQI65495 FAE65495 FKA65495 FTW65495 GDS65495 GNO65495 GXK65495 HHG65495 HRC65495 IAY65495 IKU65495 IUQ65495 JEM65495 JOI65495 JYE65495 KIA65495 KRW65495 LBS65495 LLO65495 LVK65495 MFG65495 MPC65495 MYY65495 NIU65495 NSQ65495 OCM65495 OMI65495 OWE65495 PGA65495 PPW65495 PZS65495 QJO65495 QTK65495 RDG65495 RNC65495 RWY65495 SGU65495 SQQ65495 TAM65495 TKI65495 TUE65495 UEA65495 UNW65495 UXS65495 VHO65495 VRK65495 WBG65495 WLC65495 WUY65495 IM131031 SI131031 ACE131031 AMA131031 AVW131031 BFS131031 BPO131031 BZK131031 CJG131031 CTC131031 DCY131031 DMU131031 DWQ131031 EGM131031 EQI131031 FAE131031 FKA131031 FTW131031 GDS131031 GNO131031 GXK131031 HHG131031 HRC131031 IAY131031 IKU131031 IUQ131031 JEM131031 JOI131031 JYE131031 KIA131031 KRW131031 LBS131031 LLO131031 LVK131031 MFG131031 MPC131031 MYY131031 NIU131031 NSQ131031 OCM131031 OMI131031 OWE131031 PGA131031 PPW131031 PZS131031 QJO131031 QTK131031 RDG131031 RNC131031 RWY131031 SGU131031 SQQ131031 TAM131031 TKI131031 TUE131031 UEA131031 UNW131031 UXS131031 VHO131031 VRK131031 WBG131031 WLC131031 WUY131031 IM196567 SI196567 ACE196567 AMA196567 AVW196567 BFS196567 BPO196567 BZK196567 CJG196567 CTC196567 DCY196567 DMU196567 DWQ196567 EGM196567 EQI196567 FAE196567 FKA196567 FTW196567 GDS196567 GNO196567 GXK196567 HHG196567 HRC196567 IAY196567 IKU196567 IUQ196567 JEM196567 JOI196567 JYE196567 KIA196567 KRW196567 LBS196567 LLO196567 LVK196567 MFG196567 MPC196567 MYY196567 NIU196567 NSQ196567 OCM196567 OMI196567 OWE196567 PGA196567 PPW196567 PZS196567 QJO196567 QTK196567 RDG196567 RNC196567 RWY196567 SGU196567 SQQ196567 TAM196567 TKI196567 TUE196567 UEA196567 UNW196567 UXS196567 VHO196567 VRK196567 WBG196567 WLC196567 WUY196567 IM262103 SI262103 ACE262103 AMA262103 AVW262103 BFS262103 BPO262103 BZK262103 CJG262103 CTC262103 DCY262103 DMU262103 DWQ262103 EGM262103 EQI262103 FAE262103 FKA262103 FTW262103 GDS262103 GNO262103 GXK262103 HHG262103 HRC262103 IAY262103 IKU262103 IUQ262103 JEM262103 JOI262103 JYE262103 KIA262103 KRW262103 LBS262103 LLO262103 LVK262103 MFG262103 MPC262103 MYY262103 NIU262103 NSQ262103 OCM262103 OMI262103 OWE262103 PGA262103 PPW262103 PZS262103 QJO262103 QTK262103 RDG262103 RNC262103 RWY262103 SGU262103 SQQ262103 TAM262103 TKI262103 TUE262103 UEA262103 UNW262103 UXS262103 VHO262103 VRK262103 WBG262103 WLC262103 WUY262103 IM327639 SI327639 ACE327639 AMA327639 AVW327639 BFS327639 BPO327639 BZK327639 CJG327639 CTC327639 DCY327639 DMU327639 DWQ327639 EGM327639 EQI327639 FAE327639 FKA327639 FTW327639 GDS327639 GNO327639 GXK327639 HHG327639 HRC327639 IAY327639 IKU327639 IUQ327639 JEM327639 JOI327639 JYE327639 KIA327639 KRW327639 LBS327639 LLO327639 LVK327639 MFG327639 MPC327639 MYY327639 NIU327639 NSQ327639 OCM327639 OMI327639 OWE327639 PGA327639 PPW327639 PZS327639 QJO327639 QTK327639 RDG327639 RNC327639 RWY327639 SGU327639 SQQ327639 TAM327639 TKI327639 TUE327639 UEA327639 UNW327639 UXS327639 VHO327639 VRK327639 WBG327639 WLC327639 WUY327639 IM393175 SI393175 ACE393175 AMA393175 AVW393175 BFS393175 BPO393175 BZK393175 CJG393175 CTC393175 DCY393175 DMU393175 DWQ393175 EGM393175 EQI393175 FAE393175 FKA393175 FTW393175 GDS393175 GNO393175 GXK393175 HHG393175 HRC393175 IAY393175 IKU393175 IUQ393175 JEM393175 JOI393175 JYE393175 KIA393175 KRW393175 LBS393175 LLO393175 LVK393175 MFG393175 MPC393175 MYY393175 NIU393175 NSQ393175 OCM393175 OMI393175 OWE393175 PGA393175 PPW393175 PZS393175 QJO393175 QTK393175 RDG393175 RNC393175 RWY393175 SGU393175 SQQ393175 TAM393175 TKI393175 TUE393175 UEA393175 UNW393175 UXS393175 VHO393175 VRK393175 WBG393175 WLC393175 WUY393175 IM458711 SI458711 ACE458711 AMA458711 AVW458711 BFS458711 BPO458711 BZK458711 CJG458711 CTC458711 DCY458711 DMU458711 DWQ458711 EGM458711 EQI458711 FAE458711 FKA458711 FTW458711 GDS458711 GNO458711 GXK458711 HHG458711 HRC458711 IAY458711 IKU458711 IUQ458711 JEM458711 JOI458711 JYE458711 KIA458711 KRW458711 LBS458711 LLO458711 LVK458711 MFG458711 MPC458711 MYY458711 NIU458711 NSQ458711 OCM458711 OMI458711 OWE458711 PGA458711 PPW458711 PZS458711 QJO458711 QTK458711 RDG458711 RNC458711 RWY458711 SGU458711 SQQ458711 TAM458711 TKI458711 TUE458711 UEA458711 UNW458711 UXS458711 VHO458711 VRK458711 WBG458711 WLC458711 WUY458711 IM524247 SI524247 ACE524247 AMA524247 AVW524247 BFS524247 BPO524247 BZK524247 CJG524247 CTC524247 DCY524247 DMU524247 DWQ524247 EGM524247 EQI524247 FAE524247 FKA524247 FTW524247 GDS524247 GNO524247 GXK524247 HHG524247 HRC524247 IAY524247 IKU524247 IUQ524247 JEM524247 JOI524247 JYE524247 KIA524247 KRW524247 LBS524247 LLO524247 LVK524247 MFG524247 MPC524247 MYY524247 NIU524247 NSQ524247 OCM524247 OMI524247 OWE524247 PGA524247 PPW524247 PZS524247 QJO524247 QTK524247 RDG524247 RNC524247 RWY524247 SGU524247 SQQ524247 TAM524247 TKI524247 TUE524247 UEA524247 UNW524247 UXS524247 VHO524247 VRK524247 WBG524247 WLC524247 WUY524247 IM589783 SI589783 ACE589783 AMA589783 AVW589783 BFS589783 BPO589783 BZK589783 CJG589783 CTC589783 DCY589783 DMU589783 DWQ589783 EGM589783 EQI589783 FAE589783 FKA589783 FTW589783 GDS589783 GNO589783 GXK589783 HHG589783 HRC589783 IAY589783 IKU589783 IUQ589783 JEM589783 JOI589783 JYE589783 KIA589783 KRW589783 LBS589783 LLO589783 LVK589783 MFG589783 MPC589783 MYY589783 NIU589783 NSQ589783 OCM589783 OMI589783 OWE589783 PGA589783 PPW589783 PZS589783 QJO589783 QTK589783 RDG589783 RNC589783 RWY589783 SGU589783 SQQ589783 TAM589783 TKI589783 TUE589783 UEA589783 UNW589783 UXS589783 VHO589783 VRK589783 WBG589783 WLC589783 WUY589783 IM655319 SI655319 ACE655319 AMA655319 AVW655319 BFS655319 BPO655319 BZK655319 CJG655319 CTC655319 DCY655319 DMU655319 DWQ655319 EGM655319 EQI655319 FAE655319 FKA655319 FTW655319 GDS655319 GNO655319 GXK655319 HHG655319 HRC655319 IAY655319 IKU655319 IUQ655319 JEM655319 JOI655319 JYE655319 KIA655319 KRW655319 LBS655319 LLO655319 LVK655319 MFG655319 MPC655319 MYY655319 NIU655319 NSQ655319 OCM655319 OMI655319 OWE655319 PGA655319 PPW655319 PZS655319 QJO655319 QTK655319 RDG655319 RNC655319 RWY655319 SGU655319 SQQ655319 TAM655319 TKI655319 TUE655319 UEA655319 UNW655319 UXS655319 VHO655319 VRK655319 WBG655319 WLC655319 WUY655319 IM720855 SI720855 ACE720855 AMA720855 AVW720855 BFS720855 BPO720855 BZK720855 CJG720855 CTC720855 DCY720855 DMU720855 DWQ720855 EGM720855 EQI720855 FAE720855 FKA720855 FTW720855 GDS720855 GNO720855 GXK720855 HHG720855 HRC720855 IAY720855 IKU720855 IUQ720855 JEM720855 JOI720855 JYE720855 KIA720855 KRW720855 LBS720855 LLO720855 LVK720855 MFG720855 MPC720855 MYY720855 NIU720855 NSQ720855 OCM720855 OMI720855 OWE720855 PGA720855 PPW720855 PZS720855 QJO720855 QTK720855 RDG720855 RNC720855 RWY720855 SGU720855 SQQ720855 TAM720855 TKI720855 TUE720855 UEA720855 UNW720855 UXS720855 VHO720855 VRK720855 WBG720855 WLC720855 WUY720855 IM786391 SI786391 ACE786391 AMA786391 AVW786391 BFS786391 BPO786391 BZK786391 CJG786391 CTC786391 DCY786391 DMU786391 DWQ786391 EGM786391 EQI786391 FAE786391 FKA786391 FTW786391 GDS786391 GNO786391 GXK786391 HHG786391 HRC786391 IAY786391 IKU786391 IUQ786391 JEM786391 JOI786391 JYE786391 KIA786391 KRW786391 LBS786391 LLO786391 LVK786391 MFG786391 MPC786391 MYY786391 NIU786391 NSQ786391 OCM786391 OMI786391 OWE786391 PGA786391 PPW786391 PZS786391 QJO786391 QTK786391 RDG786391 RNC786391 RWY786391 SGU786391 SQQ786391 TAM786391 TKI786391 TUE786391 UEA786391 UNW786391 UXS786391 VHO786391 VRK786391 WBG786391 WLC786391 WUY786391 IM851927 SI851927 ACE851927 AMA851927 AVW851927 BFS851927 BPO851927 BZK851927 CJG851927 CTC851927 DCY851927 DMU851927 DWQ851927 EGM851927 EQI851927 FAE851927 FKA851927 FTW851927 GDS851927 GNO851927 GXK851927 HHG851927 HRC851927 IAY851927 IKU851927 IUQ851927 JEM851927 JOI851927 JYE851927 KIA851927 KRW851927 LBS851927 LLO851927 LVK851927 MFG851927 MPC851927 MYY851927 NIU851927 NSQ851927 OCM851927 OMI851927 OWE851927 PGA851927 PPW851927 PZS851927 QJO851927 QTK851927 RDG851927 RNC851927 RWY851927 SGU851927 SQQ851927 TAM851927 TKI851927 TUE851927 UEA851927 UNW851927 UXS851927 VHO851927 VRK851927 WBG851927 WLC851927 WUY851927 IM917463 SI917463 ACE917463 AMA917463 AVW917463 BFS917463 BPO917463 BZK917463 CJG917463 CTC917463 DCY917463 DMU917463 DWQ917463 EGM917463 EQI917463 FAE917463 FKA917463 FTW917463 GDS917463 GNO917463 GXK917463 HHG917463 HRC917463 IAY917463 IKU917463 IUQ917463 JEM917463 JOI917463 JYE917463 KIA917463 KRW917463 LBS917463 LLO917463 LVK917463 MFG917463 MPC917463 MYY917463 NIU917463 NSQ917463 OCM917463 OMI917463 OWE917463 PGA917463 PPW917463 PZS917463 QJO917463 QTK917463 RDG917463 RNC917463 RWY917463 SGU917463 SQQ917463 TAM917463 TKI917463 TUE917463 UEA917463 UNW917463 UXS917463 VHO917463 VRK917463 WBG917463 WLC917463 WUY917463 IM982999 SI982999 ACE982999 AMA982999 AVW982999 BFS982999 BPO982999 BZK982999 CJG982999 CTC982999 DCY982999 DMU982999 DWQ982999 EGM982999 EQI982999 FAE982999 FKA982999 FTW982999 GDS982999 GNO982999 GXK982999 HHG982999 HRC982999 IAY982999 IKU982999 IUQ982999 JEM982999 JOI982999 JYE982999 KIA982999 KRW982999 LBS982999 LLO982999 LVK982999 MFG982999 MPC982999 MYY982999 NIU982999 NSQ982999 OCM982999 OMI982999 OWE982999 PGA982999 PPW982999 PZS982999 QJO982999 QTK982999 RDG982999 RNC982999 RWY982999 SGU982999 SQQ982999 TAM982999 TKI982999 TUE982999 UEA982999 UNW982999 UXS982999 VHO982999 VRK982999 WBG982999 WLC982999">
      <formula1>#REF!</formula1>
    </dataValidation>
    <dataValidation type="custom" operator="lessThan" allowBlank="1" showInputMessage="1" showErrorMessage="1" errorTitle="AÑO NO VALIDO" error="EL AÑO DEBE SER MENOR AL QUE SE ESCOGIO EN LA CELDA B10....INDIQUE COMO MINIMO EL AÑO ANTERIOR_x000a_" promptTitle="TENGA EN CUENTA QUE" prompt="PRIMERO DEBE ESCOGER UN AÑO EN LA CELDA B10 Y LUEGO EN ESTA CELDA EL AÑO DEBE SER MENOR AL QUE SE ESCOGIO EN LA CELDA B10... COMO MINIMO DEBE SER EL AÑO ANTERIOR." sqref="WUW983010 C131042 C196578 C262114 C327650 C393186 C458722 C524258 C589794 C655330 C720866 C786402 C851938 C917474 C983010 C65506 IK65506 SG65506 ACC65506 ALY65506 AVU65506 BFQ65506 BPM65506 BZI65506 CJE65506 CTA65506 DCW65506 DMS65506 DWO65506 EGK65506 EQG65506 FAC65506 FJY65506 FTU65506 GDQ65506 GNM65506 GXI65506 HHE65506 HRA65506 IAW65506 IKS65506 IUO65506 JEK65506 JOG65506 JYC65506 KHY65506 KRU65506 LBQ65506 LLM65506 LVI65506 MFE65506 MPA65506 MYW65506 NIS65506 NSO65506 OCK65506 OMG65506 OWC65506 PFY65506 PPU65506 PZQ65506 QJM65506 QTI65506 RDE65506 RNA65506 RWW65506 SGS65506 SQO65506 TAK65506 TKG65506 TUC65506 UDY65506 UNU65506 UXQ65506 VHM65506 VRI65506 WBE65506 WLA65506 WUW65506 IK131042 SG131042 ACC131042 ALY131042 AVU131042 BFQ131042 BPM131042 BZI131042 CJE131042 CTA131042 DCW131042 DMS131042 DWO131042 EGK131042 EQG131042 FAC131042 FJY131042 FTU131042 GDQ131042 GNM131042 GXI131042 HHE131042 HRA131042 IAW131042 IKS131042 IUO131042 JEK131042 JOG131042 JYC131042 KHY131042 KRU131042 LBQ131042 LLM131042 LVI131042 MFE131042 MPA131042 MYW131042 NIS131042 NSO131042 OCK131042 OMG131042 OWC131042 PFY131042 PPU131042 PZQ131042 QJM131042 QTI131042 RDE131042 RNA131042 RWW131042 SGS131042 SQO131042 TAK131042 TKG131042 TUC131042 UDY131042 UNU131042 UXQ131042 VHM131042 VRI131042 WBE131042 WLA131042 WUW131042 IK196578 SG196578 ACC196578 ALY196578 AVU196578 BFQ196578 BPM196578 BZI196578 CJE196578 CTA196578 DCW196578 DMS196578 DWO196578 EGK196578 EQG196578 FAC196578 FJY196578 FTU196578 GDQ196578 GNM196578 GXI196578 HHE196578 HRA196578 IAW196578 IKS196578 IUO196578 JEK196578 JOG196578 JYC196578 KHY196578 KRU196578 LBQ196578 LLM196578 LVI196578 MFE196578 MPA196578 MYW196578 NIS196578 NSO196578 OCK196578 OMG196578 OWC196578 PFY196578 PPU196578 PZQ196578 QJM196578 QTI196578 RDE196578 RNA196578 RWW196578 SGS196578 SQO196578 TAK196578 TKG196578 TUC196578 UDY196578 UNU196578 UXQ196578 VHM196578 VRI196578 WBE196578 WLA196578 WUW196578 IK262114 SG262114 ACC262114 ALY262114 AVU262114 BFQ262114 BPM262114 BZI262114 CJE262114 CTA262114 DCW262114 DMS262114 DWO262114 EGK262114 EQG262114 FAC262114 FJY262114 FTU262114 GDQ262114 GNM262114 GXI262114 HHE262114 HRA262114 IAW262114 IKS262114 IUO262114 JEK262114 JOG262114 JYC262114 KHY262114 KRU262114 LBQ262114 LLM262114 LVI262114 MFE262114 MPA262114 MYW262114 NIS262114 NSO262114 OCK262114 OMG262114 OWC262114 PFY262114 PPU262114 PZQ262114 QJM262114 QTI262114 RDE262114 RNA262114 RWW262114 SGS262114 SQO262114 TAK262114 TKG262114 TUC262114 UDY262114 UNU262114 UXQ262114 VHM262114 VRI262114 WBE262114 WLA262114 WUW262114 IK327650 SG327650 ACC327650 ALY327650 AVU327650 BFQ327650 BPM327650 BZI327650 CJE327650 CTA327650 DCW327650 DMS327650 DWO327650 EGK327650 EQG327650 FAC327650 FJY327650 FTU327650 GDQ327650 GNM327650 GXI327650 HHE327650 HRA327650 IAW327650 IKS327650 IUO327650 JEK327650 JOG327650 JYC327650 KHY327650 KRU327650 LBQ327650 LLM327650 LVI327650 MFE327650 MPA327650 MYW327650 NIS327650 NSO327650 OCK327650 OMG327650 OWC327650 PFY327650 PPU327650 PZQ327650 QJM327650 QTI327650 RDE327650 RNA327650 RWW327650 SGS327650 SQO327650 TAK327650 TKG327650 TUC327650 UDY327650 UNU327650 UXQ327650 VHM327650 VRI327650 WBE327650 WLA327650 WUW327650 IK393186 SG393186 ACC393186 ALY393186 AVU393186 BFQ393186 BPM393186 BZI393186 CJE393186 CTA393186 DCW393186 DMS393186 DWO393186 EGK393186 EQG393186 FAC393186 FJY393186 FTU393186 GDQ393186 GNM393186 GXI393186 HHE393186 HRA393186 IAW393186 IKS393186 IUO393186 JEK393186 JOG393186 JYC393186 KHY393186 KRU393186 LBQ393186 LLM393186 LVI393186 MFE393186 MPA393186 MYW393186 NIS393186 NSO393186 OCK393186 OMG393186 OWC393186 PFY393186 PPU393186 PZQ393186 QJM393186 QTI393186 RDE393186 RNA393186 RWW393186 SGS393186 SQO393186 TAK393186 TKG393186 TUC393186 UDY393186 UNU393186 UXQ393186 VHM393186 VRI393186 WBE393186 WLA393186 WUW393186 IK458722 SG458722 ACC458722 ALY458722 AVU458722 BFQ458722 BPM458722 BZI458722 CJE458722 CTA458722 DCW458722 DMS458722 DWO458722 EGK458722 EQG458722 FAC458722 FJY458722 FTU458722 GDQ458722 GNM458722 GXI458722 HHE458722 HRA458722 IAW458722 IKS458722 IUO458722 JEK458722 JOG458722 JYC458722 KHY458722 KRU458722 LBQ458722 LLM458722 LVI458722 MFE458722 MPA458722 MYW458722 NIS458722 NSO458722 OCK458722 OMG458722 OWC458722 PFY458722 PPU458722 PZQ458722 QJM458722 QTI458722 RDE458722 RNA458722 RWW458722 SGS458722 SQO458722 TAK458722 TKG458722 TUC458722 UDY458722 UNU458722 UXQ458722 VHM458722 VRI458722 WBE458722 WLA458722 WUW458722 IK524258 SG524258 ACC524258 ALY524258 AVU524258 BFQ524258 BPM524258 BZI524258 CJE524258 CTA524258 DCW524258 DMS524258 DWO524258 EGK524258 EQG524258 FAC524258 FJY524258 FTU524258 GDQ524258 GNM524258 GXI524258 HHE524258 HRA524258 IAW524258 IKS524258 IUO524258 JEK524258 JOG524258 JYC524258 KHY524258 KRU524258 LBQ524258 LLM524258 LVI524258 MFE524258 MPA524258 MYW524258 NIS524258 NSO524258 OCK524258 OMG524258 OWC524258 PFY524258 PPU524258 PZQ524258 QJM524258 QTI524258 RDE524258 RNA524258 RWW524258 SGS524258 SQO524258 TAK524258 TKG524258 TUC524258 UDY524258 UNU524258 UXQ524258 VHM524258 VRI524258 WBE524258 WLA524258 WUW524258 IK589794 SG589794 ACC589794 ALY589794 AVU589794 BFQ589794 BPM589794 BZI589794 CJE589794 CTA589794 DCW589794 DMS589794 DWO589794 EGK589794 EQG589794 FAC589794 FJY589794 FTU589794 GDQ589794 GNM589794 GXI589794 HHE589794 HRA589794 IAW589794 IKS589794 IUO589794 JEK589794 JOG589794 JYC589794 KHY589794 KRU589794 LBQ589794 LLM589794 LVI589794 MFE589794 MPA589794 MYW589794 NIS589794 NSO589794 OCK589794 OMG589794 OWC589794 PFY589794 PPU589794 PZQ589794 QJM589794 QTI589794 RDE589794 RNA589794 RWW589794 SGS589794 SQO589794 TAK589794 TKG589794 TUC589794 UDY589794 UNU589794 UXQ589794 VHM589794 VRI589794 WBE589794 WLA589794 WUW589794 IK655330 SG655330 ACC655330 ALY655330 AVU655330 BFQ655330 BPM655330 BZI655330 CJE655330 CTA655330 DCW655330 DMS655330 DWO655330 EGK655330 EQG655330 FAC655330 FJY655330 FTU655330 GDQ655330 GNM655330 GXI655330 HHE655330 HRA655330 IAW655330 IKS655330 IUO655330 JEK655330 JOG655330 JYC655330 KHY655330 KRU655330 LBQ655330 LLM655330 LVI655330 MFE655330 MPA655330 MYW655330 NIS655330 NSO655330 OCK655330 OMG655330 OWC655330 PFY655330 PPU655330 PZQ655330 QJM655330 QTI655330 RDE655330 RNA655330 RWW655330 SGS655330 SQO655330 TAK655330 TKG655330 TUC655330 UDY655330 UNU655330 UXQ655330 VHM655330 VRI655330 WBE655330 WLA655330 WUW655330 IK720866 SG720866 ACC720866 ALY720866 AVU720866 BFQ720866 BPM720866 BZI720866 CJE720866 CTA720866 DCW720866 DMS720866 DWO720866 EGK720866 EQG720866 FAC720866 FJY720866 FTU720866 GDQ720866 GNM720866 GXI720866 HHE720866 HRA720866 IAW720866 IKS720866 IUO720866 JEK720866 JOG720866 JYC720866 KHY720866 KRU720866 LBQ720866 LLM720866 LVI720866 MFE720866 MPA720866 MYW720866 NIS720866 NSO720866 OCK720866 OMG720866 OWC720866 PFY720866 PPU720866 PZQ720866 QJM720866 QTI720866 RDE720866 RNA720866 RWW720866 SGS720866 SQO720866 TAK720866 TKG720866 TUC720866 UDY720866 UNU720866 UXQ720866 VHM720866 VRI720866 WBE720866 WLA720866 WUW720866 IK786402 SG786402 ACC786402 ALY786402 AVU786402 BFQ786402 BPM786402 BZI786402 CJE786402 CTA786402 DCW786402 DMS786402 DWO786402 EGK786402 EQG786402 FAC786402 FJY786402 FTU786402 GDQ786402 GNM786402 GXI786402 HHE786402 HRA786402 IAW786402 IKS786402 IUO786402 JEK786402 JOG786402 JYC786402 KHY786402 KRU786402 LBQ786402 LLM786402 LVI786402 MFE786402 MPA786402 MYW786402 NIS786402 NSO786402 OCK786402 OMG786402 OWC786402 PFY786402 PPU786402 PZQ786402 QJM786402 QTI786402 RDE786402 RNA786402 RWW786402 SGS786402 SQO786402 TAK786402 TKG786402 TUC786402 UDY786402 UNU786402 UXQ786402 VHM786402 VRI786402 WBE786402 WLA786402 WUW786402 IK851938 SG851938 ACC851938 ALY851938 AVU851938 BFQ851938 BPM851938 BZI851938 CJE851938 CTA851938 DCW851938 DMS851938 DWO851938 EGK851938 EQG851938 FAC851938 FJY851938 FTU851938 GDQ851938 GNM851938 GXI851938 HHE851938 HRA851938 IAW851938 IKS851938 IUO851938 JEK851938 JOG851938 JYC851938 KHY851938 KRU851938 LBQ851938 LLM851938 LVI851938 MFE851938 MPA851938 MYW851938 NIS851938 NSO851938 OCK851938 OMG851938 OWC851938 PFY851938 PPU851938 PZQ851938 QJM851938 QTI851938 RDE851938 RNA851938 RWW851938 SGS851938 SQO851938 TAK851938 TKG851938 TUC851938 UDY851938 UNU851938 UXQ851938 VHM851938 VRI851938 WBE851938 WLA851938 WUW851938 IK917474 SG917474 ACC917474 ALY917474 AVU917474 BFQ917474 BPM917474 BZI917474 CJE917474 CTA917474 DCW917474 DMS917474 DWO917474 EGK917474 EQG917474 FAC917474 FJY917474 FTU917474 GDQ917474 GNM917474 GXI917474 HHE917474 HRA917474 IAW917474 IKS917474 IUO917474 JEK917474 JOG917474 JYC917474 KHY917474 KRU917474 LBQ917474 LLM917474 LVI917474 MFE917474 MPA917474 MYW917474 NIS917474 NSO917474 OCK917474 OMG917474 OWC917474 PFY917474 PPU917474 PZQ917474 QJM917474 QTI917474 RDE917474 RNA917474 RWW917474 SGS917474 SQO917474 TAK917474 TKG917474 TUC917474 UDY917474 UNU917474 UXQ917474 VHM917474 VRI917474 WBE917474 WLA917474 WUW917474 IK983010 SG983010 ACC983010 ALY983010 AVU983010 BFQ983010 BPM983010 BZI983010 CJE983010 CTA983010 DCW983010 DMS983010 DWO983010 EGK983010 EQG983010 FAC983010 FJY983010 FTU983010 GDQ983010 GNM983010 GXI983010 HHE983010 HRA983010 IAW983010 IKS983010 IUO983010 JEK983010 JOG983010 JYC983010 KHY983010 KRU983010 LBQ983010 LLM983010 LVI983010 MFE983010 MPA983010 MYW983010 NIS983010 NSO983010 OCK983010 OMG983010 OWC983010 PFY983010 PPU983010 PZQ983010 QJM983010 QTI983010 RDE983010 RNA983010 RWW983010 SGS983010 SQO983010 TAK983010 TKG983010 TUC983010 UDY983010 UNU983010 UXQ983010 VHM983010 VRI983010 WBE983010 WLA983010">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topLeftCell="A15" workbookViewId="0">
      <selection activeCell="L30" sqref="L30"/>
    </sheetView>
  </sheetViews>
  <sheetFormatPr baseColWidth="10" defaultRowHeight="12.75"/>
  <cols>
    <col min="1" max="1" width="41.5703125" style="100" customWidth="1"/>
    <col min="2" max="5" width="10.7109375" style="100" hidden="1" customWidth="1"/>
    <col min="6" max="9" width="10.42578125" style="101" customWidth="1"/>
    <col min="10" max="12" width="9.42578125" style="139" customWidth="1"/>
    <col min="13" max="13" width="9.7109375" style="139" customWidth="1"/>
    <col min="14" max="17" width="10" style="139" customWidth="1"/>
    <col min="18" max="18" width="9.5703125" style="139" customWidth="1"/>
    <col min="19" max="234" width="11.42578125" style="101"/>
    <col min="235" max="235" width="46.140625" style="101" customWidth="1"/>
    <col min="236" max="236" width="0" style="101" hidden="1" customWidth="1"/>
    <col min="237" max="240" width="9.5703125" style="101" customWidth="1"/>
    <col min="241" max="245" width="9.28515625" style="101" customWidth="1"/>
    <col min="246" max="249" width="9.140625" style="101" customWidth="1"/>
    <col min="250" max="254" width="9.42578125" style="101" bestFit="1" customWidth="1"/>
    <col min="255" max="255" width="9.7109375" style="101" customWidth="1"/>
    <col min="256" max="258" width="7" style="101" customWidth="1"/>
    <col min="259" max="259" width="6.7109375" style="101" customWidth="1"/>
    <col min="260" max="261" width="7" style="101" customWidth="1"/>
    <col min="262" max="262" width="8.7109375" style="101" customWidth="1"/>
    <col min="263" max="263" width="11.42578125" style="101"/>
    <col min="264" max="264" width="50" style="101" bestFit="1" customWidth="1"/>
    <col min="265" max="274" width="10.7109375" style="101" bestFit="1" customWidth="1"/>
    <col min="275" max="490" width="11.42578125" style="101"/>
    <col min="491" max="491" width="46.140625" style="101" customWidth="1"/>
    <col min="492" max="492" width="0" style="101" hidden="1" customWidth="1"/>
    <col min="493" max="496" width="9.5703125" style="101" customWidth="1"/>
    <col min="497" max="501" width="9.28515625" style="101" customWidth="1"/>
    <col min="502" max="505" width="9.140625" style="101" customWidth="1"/>
    <col min="506" max="510" width="9.42578125" style="101" bestFit="1" customWidth="1"/>
    <col min="511" max="511" width="9.7109375" style="101" customWidth="1"/>
    <col min="512" max="514" width="7" style="101" customWidth="1"/>
    <col min="515" max="515" width="6.7109375" style="101" customWidth="1"/>
    <col min="516" max="517" width="7" style="101" customWidth="1"/>
    <col min="518" max="518" width="8.7109375" style="101" customWidth="1"/>
    <col min="519" max="519" width="11.42578125" style="101"/>
    <col min="520" max="520" width="50" style="101" bestFit="1" customWidth="1"/>
    <col min="521" max="530" width="10.7109375" style="101" bestFit="1" customWidth="1"/>
    <col min="531" max="746" width="11.42578125" style="101"/>
    <col min="747" max="747" width="46.140625" style="101" customWidth="1"/>
    <col min="748" max="748" width="0" style="101" hidden="1" customWidth="1"/>
    <col min="749" max="752" width="9.5703125" style="101" customWidth="1"/>
    <col min="753" max="757" width="9.28515625" style="101" customWidth="1"/>
    <col min="758" max="761" width="9.140625" style="101" customWidth="1"/>
    <col min="762" max="766" width="9.42578125" style="101" bestFit="1" customWidth="1"/>
    <col min="767" max="767" width="9.7109375" style="101" customWidth="1"/>
    <col min="768" max="770" width="7" style="101" customWidth="1"/>
    <col min="771" max="771" width="6.7109375" style="101" customWidth="1"/>
    <col min="772" max="773" width="7" style="101" customWidth="1"/>
    <col min="774" max="774" width="8.7109375" style="101" customWidth="1"/>
    <col min="775" max="775" width="11.42578125" style="101"/>
    <col min="776" max="776" width="50" style="101" bestFit="1" customWidth="1"/>
    <col min="777" max="786" width="10.7109375" style="101" bestFit="1" customWidth="1"/>
    <col min="787" max="1002" width="11.42578125" style="101"/>
    <col min="1003" max="1003" width="46.140625" style="101" customWidth="1"/>
    <col min="1004" max="1004" width="0" style="101" hidden="1" customWidth="1"/>
    <col min="1005" max="1008" width="9.5703125" style="101" customWidth="1"/>
    <col min="1009" max="1013" width="9.28515625" style="101" customWidth="1"/>
    <col min="1014" max="1017" width="9.140625" style="101" customWidth="1"/>
    <col min="1018" max="1022" width="9.42578125" style="101" bestFit="1" customWidth="1"/>
    <col min="1023" max="1023" width="9.7109375" style="101" customWidth="1"/>
    <col min="1024" max="1026" width="7" style="101" customWidth="1"/>
    <col min="1027" max="1027" width="6.7109375" style="101" customWidth="1"/>
    <col min="1028" max="1029" width="7" style="101" customWidth="1"/>
    <col min="1030" max="1030" width="8.7109375" style="101" customWidth="1"/>
    <col min="1031" max="1031" width="11.42578125" style="101"/>
    <col min="1032" max="1032" width="50" style="101" bestFit="1" customWidth="1"/>
    <col min="1033" max="1042" width="10.7109375" style="101" bestFit="1" customWidth="1"/>
    <col min="1043" max="1258" width="11.42578125" style="101"/>
    <col min="1259" max="1259" width="46.140625" style="101" customWidth="1"/>
    <col min="1260" max="1260" width="0" style="101" hidden="1" customWidth="1"/>
    <col min="1261" max="1264" width="9.5703125" style="101" customWidth="1"/>
    <col min="1265" max="1269" width="9.28515625" style="101" customWidth="1"/>
    <col min="1270" max="1273" width="9.140625" style="101" customWidth="1"/>
    <col min="1274" max="1278" width="9.42578125" style="101" bestFit="1" customWidth="1"/>
    <col min="1279" max="1279" width="9.7109375" style="101" customWidth="1"/>
    <col min="1280" max="1282" width="7" style="101" customWidth="1"/>
    <col min="1283" max="1283" width="6.7109375" style="101" customWidth="1"/>
    <col min="1284" max="1285" width="7" style="101" customWidth="1"/>
    <col min="1286" max="1286" width="8.7109375" style="101" customWidth="1"/>
    <col min="1287" max="1287" width="11.42578125" style="101"/>
    <col min="1288" max="1288" width="50" style="101" bestFit="1" customWidth="1"/>
    <col min="1289" max="1298" width="10.7109375" style="101" bestFit="1" customWidth="1"/>
    <col min="1299" max="1514" width="11.42578125" style="101"/>
    <col min="1515" max="1515" width="46.140625" style="101" customWidth="1"/>
    <col min="1516" max="1516" width="0" style="101" hidden="1" customWidth="1"/>
    <col min="1517" max="1520" width="9.5703125" style="101" customWidth="1"/>
    <col min="1521" max="1525" width="9.28515625" style="101" customWidth="1"/>
    <col min="1526" max="1529" width="9.140625" style="101" customWidth="1"/>
    <col min="1530" max="1534" width="9.42578125" style="101" bestFit="1" customWidth="1"/>
    <col min="1535" max="1535" width="9.7109375" style="101" customWidth="1"/>
    <col min="1536" max="1538" width="7" style="101" customWidth="1"/>
    <col min="1539" max="1539" width="6.7109375" style="101" customWidth="1"/>
    <col min="1540" max="1541" width="7" style="101" customWidth="1"/>
    <col min="1542" max="1542" width="8.7109375" style="101" customWidth="1"/>
    <col min="1543" max="1543" width="11.42578125" style="101"/>
    <col min="1544" max="1544" width="50" style="101" bestFit="1" customWidth="1"/>
    <col min="1545" max="1554" width="10.7109375" style="101" bestFit="1" customWidth="1"/>
    <col min="1555" max="1770" width="11.42578125" style="101"/>
    <col min="1771" max="1771" width="46.140625" style="101" customWidth="1"/>
    <col min="1772" max="1772" width="0" style="101" hidden="1" customWidth="1"/>
    <col min="1773" max="1776" width="9.5703125" style="101" customWidth="1"/>
    <col min="1777" max="1781" width="9.28515625" style="101" customWidth="1"/>
    <col min="1782" max="1785" width="9.140625" style="101" customWidth="1"/>
    <col min="1786" max="1790" width="9.42578125" style="101" bestFit="1" customWidth="1"/>
    <col min="1791" max="1791" width="9.7109375" style="101" customWidth="1"/>
    <col min="1792" max="1794" width="7" style="101" customWidth="1"/>
    <col min="1795" max="1795" width="6.7109375" style="101" customWidth="1"/>
    <col min="1796" max="1797" width="7" style="101" customWidth="1"/>
    <col min="1798" max="1798" width="8.7109375" style="101" customWidth="1"/>
    <col min="1799" max="1799" width="11.42578125" style="101"/>
    <col min="1800" max="1800" width="50" style="101" bestFit="1" customWidth="1"/>
    <col min="1801" max="1810" width="10.7109375" style="101" bestFit="1" customWidth="1"/>
    <col min="1811" max="2026" width="11.42578125" style="101"/>
    <col min="2027" max="2027" width="46.140625" style="101" customWidth="1"/>
    <col min="2028" max="2028" width="0" style="101" hidden="1" customWidth="1"/>
    <col min="2029" max="2032" width="9.5703125" style="101" customWidth="1"/>
    <col min="2033" max="2037" width="9.28515625" style="101" customWidth="1"/>
    <col min="2038" max="2041" width="9.140625" style="101" customWidth="1"/>
    <col min="2042" max="2046" width="9.42578125" style="101" bestFit="1" customWidth="1"/>
    <col min="2047" max="2047" width="9.7109375" style="101" customWidth="1"/>
    <col min="2048" max="2050" width="7" style="101" customWidth="1"/>
    <col min="2051" max="2051" width="6.7109375" style="101" customWidth="1"/>
    <col min="2052" max="2053" width="7" style="101" customWidth="1"/>
    <col min="2054" max="2054" width="8.7109375" style="101" customWidth="1"/>
    <col min="2055" max="2055" width="11.42578125" style="101"/>
    <col min="2056" max="2056" width="50" style="101" bestFit="1" customWidth="1"/>
    <col min="2057" max="2066" width="10.7109375" style="101" bestFit="1" customWidth="1"/>
    <col min="2067" max="2282" width="11.42578125" style="101"/>
    <col min="2283" max="2283" width="46.140625" style="101" customWidth="1"/>
    <col min="2284" max="2284" width="0" style="101" hidden="1" customWidth="1"/>
    <col min="2285" max="2288" width="9.5703125" style="101" customWidth="1"/>
    <col min="2289" max="2293" width="9.28515625" style="101" customWidth="1"/>
    <col min="2294" max="2297" width="9.140625" style="101" customWidth="1"/>
    <col min="2298" max="2302" width="9.42578125" style="101" bestFit="1" customWidth="1"/>
    <col min="2303" max="2303" width="9.7109375" style="101" customWidth="1"/>
    <col min="2304" max="2306" width="7" style="101" customWidth="1"/>
    <col min="2307" max="2307" width="6.7109375" style="101" customWidth="1"/>
    <col min="2308" max="2309" width="7" style="101" customWidth="1"/>
    <col min="2310" max="2310" width="8.7109375" style="101" customWidth="1"/>
    <col min="2311" max="2311" width="11.42578125" style="101"/>
    <col min="2312" max="2312" width="50" style="101" bestFit="1" customWidth="1"/>
    <col min="2313" max="2322" width="10.7109375" style="101" bestFit="1" customWidth="1"/>
    <col min="2323" max="2538" width="11.42578125" style="101"/>
    <col min="2539" max="2539" width="46.140625" style="101" customWidth="1"/>
    <col min="2540" max="2540" width="0" style="101" hidden="1" customWidth="1"/>
    <col min="2541" max="2544" width="9.5703125" style="101" customWidth="1"/>
    <col min="2545" max="2549" width="9.28515625" style="101" customWidth="1"/>
    <col min="2550" max="2553" width="9.140625" style="101" customWidth="1"/>
    <col min="2554" max="2558" width="9.42578125" style="101" bestFit="1" customWidth="1"/>
    <col min="2559" max="2559" width="9.7109375" style="101" customWidth="1"/>
    <col min="2560" max="2562" width="7" style="101" customWidth="1"/>
    <col min="2563" max="2563" width="6.7109375" style="101" customWidth="1"/>
    <col min="2564" max="2565" width="7" style="101" customWidth="1"/>
    <col min="2566" max="2566" width="8.7109375" style="101" customWidth="1"/>
    <col min="2567" max="2567" width="11.42578125" style="101"/>
    <col min="2568" max="2568" width="50" style="101" bestFit="1" customWidth="1"/>
    <col min="2569" max="2578" width="10.7109375" style="101" bestFit="1" customWidth="1"/>
    <col min="2579" max="2794" width="11.42578125" style="101"/>
    <col min="2795" max="2795" width="46.140625" style="101" customWidth="1"/>
    <col min="2796" max="2796" width="0" style="101" hidden="1" customWidth="1"/>
    <col min="2797" max="2800" width="9.5703125" style="101" customWidth="1"/>
    <col min="2801" max="2805" width="9.28515625" style="101" customWidth="1"/>
    <col min="2806" max="2809" width="9.140625" style="101" customWidth="1"/>
    <col min="2810" max="2814" width="9.42578125" style="101" bestFit="1" customWidth="1"/>
    <col min="2815" max="2815" width="9.7109375" style="101" customWidth="1"/>
    <col min="2816" max="2818" width="7" style="101" customWidth="1"/>
    <col min="2819" max="2819" width="6.7109375" style="101" customWidth="1"/>
    <col min="2820" max="2821" width="7" style="101" customWidth="1"/>
    <col min="2822" max="2822" width="8.7109375" style="101" customWidth="1"/>
    <col min="2823" max="2823" width="11.42578125" style="101"/>
    <col min="2824" max="2824" width="50" style="101" bestFit="1" customWidth="1"/>
    <col min="2825" max="2834" width="10.7109375" style="101" bestFit="1" customWidth="1"/>
    <col min="2835" max="3050" width="11.42578125" style="101"/>
    <col min="3051" max="3051" width="46.140625" style="101" customWidth="1"/>
    <col min="3052" max="3052" width="0" style="101" hidden="1" customWidth="1"/>
    <col min="3053" max="3056" width="9.5703125" style="101" customWidth="1"/>
    <col min="3057" max="3061" width="9.28515625" style="101" customWidth="1"/>
    <col min="3062" max="3065" width="9.140625" style="101" customWidth="1"/>
    <col min="3066" max="3070" width="9.42578125" style="101" bestFit="1" customWidth="1"/>
    <col min="3071" max="3071" width="9.7109375" style="101" customWidth="1"/>
    <col min="3072" max="3074" width="7" style="101" customWidth="1"/>
    <col min="3075" max="3075" width="6.7109375" style="101" customWidth="1"/>
    <col min="3076" max="3077" width="7" style="101" customWidth="1"/>
    <col min="3078" max="3078" width="8.7109375" style="101" customWidth="1"/>
    <col min="3079" max="3079" width="11.42578125" style="101"/>
    <col min="3080" max="3080" width="50" style="101" bestFit="1" customWidth="1"/>
    <col min="3081" max="3090" width="10.7109375" style="101" bestFit="1" customWidth="1"/>
    <col min="3091" max="3306" width="11.42578125" style="101"/>
    <col min="3307" max="3307" width="46.140625" style="101" customWidth="1"/>
    <col min="3308" max="3308" width="0" style="101" hidden="1" customWidth="1"/>
    <col min="3309" max="3312" width="9.5703125" style="101" customWidth="1"/>
    <col min="3313" max="3317" width="9.28515625" style="101" customWidth="1"/>
    <col min="3318" max="3321" width="9.140625" style="101" customWidth="1"/>
    <col min="3322" max="3326" width="9.42578125" style="101" bestFit="1" customWidth="1"/>
    <col min="3327" max="3327" width="9.7109375" style="101" customWidth="1"/>
    <col min="3328" max="3330" width="7" style="101" customWidth="1"/>
    <col min="3331" max="3331" width="6.7109375" style="101" customWidth="1"/>
    <col min="3332" max="3333" width="7" style="101" customWidth="1"/>
    <col min="3334" max="3334" width="8.7109375" style="101" customWidth="1"/>
    <col min="3335" max="3335" width="11.42578125" style="101"/>
    <col min="3336" max="3336" width="50" style="101" bestFit="1" customWidth="1"/>
    <col min="3337" max="3346" width="10.7109375" style="101" bestFit="1" customWidth="1"/>
    <col min="3347" max="3562" width="11.42578125" style="101"/>
    <col min="3563" max="3563" width="46.140625" style="101" customWidth="1"/>
    <col min="3564" max="3564" width="0" style="101" hidden="1" customWidth="1"/>
    <col min="3565" max="3568" width="9.5703125" style="101" customWidth="1"/>
    <col min="3569" max="3573" width="9.28515625" style="101" customWidth="1"/>
    <col min="3574" max="3577" width="9.140625" style="101" customWidth="1"/>
    <col min="3578" max="3582" width="9.42578125" style="101" bestFit="1" customWidth="1"/>
    <col min="3583" max="3583" width="9.7109375" style="101" customWidth="1"/>
    <col min="3584" max="3586" width="7" style="101" customWidth="1"/>
    <col min="3587" max="3587" width="6.7109375" style="101" customWidth="1"/>
    <col min="3588" max="3589" width="7" style="101" customWidth="1"/>
    <col min="3590" max="3590" width="8.7109375" style="101" customWidth="1"/>
    <col min="3591" max="3591" width="11.42578125" style="101"/>
    <col min="3592" max="3592" width="50" style="101" bestFit="1" customWidth="1"/>
    <col min="3593" max="3602" width="10.7109375" style="101" bestFit="1" customWidth="1"/>
    <col min="3603" max="3818" width="11.42578125" style="101"/>
    <col min="3819" max="3819" width="46.140625" style="101" customWidth="1"/>
    <col min="3820" max="3820" width="0" style="101" hidden="1" customWidth="1"/>
    <col min="3821" max="3824" width="9.5703125" style="101" customWidth="1"/>
    <col min="3825" max="3829" width="9.28515625" style="101" customWidth="1"/>
    <col min="3830" max="3833" width="9.140625" style="101" customWidth="1"/>
    <col min="3834" max="3838" width="9.42578125" style="101" bestFit="1" customWidth="1"/>
    <col min="3839" max="3839" width="9.7109375" style="101" customWidth="1"/>
    <col min="3840" max="3842" width="7" style="101" customWidth="1"/>
    <col min="3843" max="3843" width="6.7109375" style="101" customWidth="1"/>
    <col min="3844" max="3845" width="7" style="101" customWidth="1"/>
    <col min="3846" max="3846" width="8.7109375" style="101" customWidth="1"/>
    <col min="3847" max="3847" width="11.42578125" style="101"/>
    <col min="3848" max="3848" width="50" style="101" bestFit="1" customWidth="1"/>
    <col min="3849" max="3858" width="10.7109375" style="101" bestFit="1" customWidth="1"/>
    <col min="3859" max="4074" width="11.42578125" style="101"/>
    <col min="4075" max="4075" width="46.140625" style="101" customWidth="1"/>
    <col min="4076" max="4076" width="0" style="101" hidden="1" customWidth="1"/>
    <col min="4077" max="4080" width="9.5703125" style="101" customWidth="1"/>
    <col min="4081" max="4085" width="9.28515625" style="101" customWidth="1"/>
    <col min="4086" max="4089" width="9.140625" style="101" customWidth="1"/>
    <col min="4090" max="4094" width="9.42578125" style="101" bestFit="1" customWidth="1"/>
    <col min="4095" max="4095" width="9.7109375" style="101" customWidth="1"/>
    <col min="4096" max="4098" width="7" style="101" customWidth="1"/>
    <col min="4099" max="4099" width="6.7109375" style="101" customWidth="1"/>
    <col min="4100" max="4101" width="7" style="101" customWidth="1"/>
    <col min="4102" max="4102" width="8.7109375" style="101" customWidth="1"/>
    <col min="4103" max="4103" width="11.42578125" style="101"/>
    <col min="4104" max="4104" width="50" style="101" bestFit="1" customWidth="1"/>
    <col min="4105" max="4114" width="10.7109375" style="101" bestFit="1" customWidth="1"/>
    <col min="4115" max="4330" width="11.42578125" style="101"/>
    <col min="4331" max="4331" width="46.140625" style="101" customWidth="1"/>
    <col min="4332" max="4332" width="0" style="101" hidden="1" customWidth="1"/>
    <col min="4333" max="4336" width="9.5703125" style="101" customWidth="1"/>
    <col min="4337" max="4341" width="9.28515625" style="101" customWidth="1"/>
    <col min="4342" max="4345" width="9.140625" style="101" customWidth="1"/>
    <col min="4346" max="4350" width="9.42578125" style="101" bestFit="1" customWidth="1"/>
    <col min="4351" max="4351" width="9.7109375" style="101" customWidth="1"/>
    <col min="4352" max="4354" width="7" style="101" customWidth="1"/>
    <col min="4355" max="4355" width="6.7109375" style="101" customWidth="1"/>
    <col min="4356" max="4357" width="7" style="101" customWidth="1"/>
    <col min="4358" max="4358" width="8.7109375" style="101" customWidth="1"/>
    <col min="4359" max="4359" width="11.42578125" style="101"/>
    <col min="4360" max="4360" width="50" style="101" bestFit="1" customWidth="1"/>
    <col min="4361" max="4370" width="10.7109375" style="101" bestFit="1" customWidth="1"/>
    <col min="4371" max="4586" width="11.42578125" style="101"/>
    <col min="4587" max="4587" width="46.140625" style="101" customWidth="1"/>
    <col min="4588" max="4588" width="0" style="101" hidden="1" customWidth="1"/>
    <col min="4589" max="4592" width="9.5703125" style="101" customWidth="1"/>
    <col min="4593" max="4597" width="9.28515625" style="101" customWidth="1"/>
    <col min="4598" max="4601" width="9.140625" style="101" customWidth="1"/>
    <col min="4602" max="4606" width="9.42578125" style="101" bestFit="1" customWidth="1"/>
    <col min="4607" max="4607" width="9.7109375" style="101" customWidth="1"/>
    <col min="4608" max="4610" width="7" style="101" customWidth="1"/>
    <col min="4611" max="4611" width="6.7109375" style="101" customWidth="1"/>
    <col min="4612" max="4613" width="7" style="101" customWidth="1"/>
    <col min="4614" max="4614" width="8.7109375" style="101" customWidth="1"/>
    <col min="4615" max="4615" width="11.42578125" style="101"/>
    <col min="4616" max="4616" width="50" style="101" bestFit="1" customWidth="1"/>
    <col min="4617" max="4626" width="10.7109375" style="101" bestFit="1" customWidth="1"/>
    <col min="4627" max="4842" width="11.42578125" style="101"/>
    <col min="4843" max="4843" width="46.140625" style="101" customWidth="1"/>
    <col min="4844" max="4844" width="0" style="101" hidden="1" customWidth="1"/>
    <col min="4845" max="4848" width="9.5703125" style="101" customWidth="1"/>
    <col min="4849" max="4853" width="9.28515625" style="101" customWidth="1"/>
    <col min="4854" max="4857" width="9.140625" style="101" customWidth="1"/>
    <col min="4858" max="4862" width="9.42578125" style="101" bestFit="1" customWidth="1"/>
    <col min="4863" max="4863" width="9.7109375" style="101" customWidth="1"/>
    <col min="4864" max="4866" width="7" style="101" customWidth="1"/>
    <col min="4867" max="4867" width="6.7109375" style="101" customWidth="1"/>
    <col min="4868" max="4869" width="7" style="101" customWidth="1"/>
    <col min="4870" max="4870" width="8.7109375" style="101" customWidth="1"/>
    <col min="4871" max="4871" width="11.42578125" style="101"/>
    <col min="4872" max="4872" width="50" style="101" bestFit="1" customWidth="1"/>
    <col min="4873" max="4882" width="10.7109375" style="101" bestFit="1" customWidth="1"/>
    <col min="4883" max="5098" width="11.42578125" style="101"/>
    <col min="5099" max="5099" width="46.140625" style="101" customWidth="1"/>
    <col min="5100" max="5100" width="0" style="101" hidden="1" customWidth="1"/>
    <col min="5101" max="5104" width="9.5703125" style="101" customWidth="1"/>
    <col min="5105" max="5109" width="9.28515625" style="101" customWidth="1"/>
    <col min="5110" max="5113" width="9.140625" style="101" customWidth="1"/>
    <col min="5114" max="5118" width="9.42578125" style="101" bestFit="1" customWidth="1"/>
    <col min="5119" max="5119" width="9.7109375" style="101" customWidth="1"/>
    <col min="5120" max="5122" width="7" style="101" customWidth="1"/>
    <col min="5123" max="5123" width="6.7109375" style="101" customWidth="1"/>
    <col min="5124" max="5125" width="7" style="101" customWidth="1"/>
    <col min="5126" max="5126" width="8.7109375" style="101" customWidth="1"/>
    <col min="5127" max="5127" width="11.42578125" style="101"/>
    <col min="5128" max="5128" width="50" style="101" bestFit="1" customWidth="1"/>
    <col min="5129" max="5138" width="10.7109375" style="101" bestFit="1" customWidth="1"/>
    <col min="5139" max="5354" width="11.42578125" style="101"/>
    <col min="5355" max="5355" width="46.140625" style="101" customWidth="1"/>
    <col min="5356" max="5356" width="0" style="101" hidden="1" customWidth="1"/>
    <col min="5357" max="5360" width="9.5703125" style="101" customWidth="1"/>
    <col min="5361" max="5365" width="9.28515625" style="101" customWidth="1"/>
    <col min="5366" max="5369" width="9.140625" style="101" customWidth="1"/>
    <col min="5370" max="5374" width="9.42578125" style="101" bestFit="1" customWidth="1"/>
    <col min="5375" max="5375" width="9.7109375" style="101" customWidth="1"/>
    <col min="5376" max="5378" width="7" style="101" customWidth="1"/>
    <col min="5379" max="5379" width="6.7109375" style="101" customWidth="1"/>
    <col min="5380" max="5381" width="7" style="101" customWidth="1"/>
    <col min="5382" max="5382" width="8.7109375" style="101" customWidth="1"/>
    <col min="5383" max="5383" width="11.42578125" style="101"/>
    <col min="5384" max="5384" width="50" style="101" bestFit="1" customWidth="1"/>
    <col min="5385" max="5394" width="10.7109375" style="101" bestFit="1" customWidth="1"/>
    <col min="5395" max="5610" width="11.42578125" style="101"/>
    <col min="5611" max="5611" width="46.140625" style="101" customWidth="1"/>
    <col min="5612" max="5612" width="0" style="101" hidden="1" customWidth="1"/>
    <col min="5613" max="5616" width="9.5703125" style="101" customWidth="1"/>
    <col min="5617" max="5621" width="9.28515625" style="101" customWidth="1"/>
    <col min="5622" max="5625" width="9.140625" style="101" customWidth="1"/>
    <col min="5626" max="5630" width="9.42578125" style="101" bestFit="1" customWidth="1"/>
    <col min="5631" max="5631" width="9.7109375" style="101" customWidth="1"/>
    <col min="5632" max="5634" width="7" style="101" customWidth="1"/>
    <col min="5635" max="5635" width="6.7109375" style="101" customWidth="1"/>
    <col min="5636" max="5637" width="7" style="101" customWidth="1"/>
    <col min="5638" max="5638" width="8.7109375" style="101" customWidth="1"/>
    <col min="5639" max="5639" width="11.42578125" style="101"/>
    <col min="5640" max="5640" width="50" style="101" bestFit="1" customWidth="1"/>
    <col min="5641" max="5650" width="10.7109375" style="101" bestFit="1" customWidth="1"/>
    <col min="5651" max="5866" width="11.42578125" style="101"/>
    <col min="5867" max="5867" width="46.140625" style="101" customWidth="1"/>
    <col min="5868" max="5868" width="0" style="101" hidden="1" customWidth="1"/>
    <col min="5869" max="5872" width="9.5703125" style="101" customWidth="1"/>
    <col min="5873" max="5877" width="9.28515625" style="101" customWidth="1"/>
    <col min="5878" max="5881" width="9.140625" style="101" customWidth="1"/>
    <col min="5882" max="5886" width="9.42578125" style="101" bestFit="1" customWidth="1"/>
    <col min="5887" max="5887" width="9.7109375" style="101" customWidth="1"/>
    <col min="5888" max="5890" width="7" style="101" customWidth="1"/>
    <col min="5891" max="5891" width="6.7109375" style="101" customWidth="1"/>
    <col min="5892" max="5893" width="7" style="101" customWidth="1"/>
    <col min="5894" max="5894" width="8.7109375" style="101" customWidth="1"/>
    <col min="5895" max="5895" width="11.42578125" style="101"/>
    <col min="5896" max="5896" width="50" style="101" bestFit="1" customWidth="1"/>
    <col min="5897" max="5906" width="10.7109375" style="101" bestFit="1" customWidth="1"/>
    <col min="5907" max="6122" width="11.42578125" style="101"/>
    <col min="6123" max="6123" width="46.140625" style="101" customWidth="1"/>
    <col min="6124" max="6124" width="0" style="101" hidden="1" customWidth="1"/>
    <col min="6125" max="6128" width="9.5703125" style="101" customWidth="1"/>
    <col min="6129" max="6133" width="9.28515625" style="101" customWidth="1"/>
    <col min="6134" max="6137" width="9.140625" style="101" customWidth="1"/>
    <col min="6138" max="6142" width="9.42578125" style="101" bestFit="1" customWidth="1"/>
    <col min="6143" max="6143" width="9.7109375" style="101" customWidth="1"/>
    <col min="6144" max="6146" width="7" style="101" customWidth="1"/>
    <col min="6147" max="6147" width="6.7109375" style="101" customWidth="1"/>
    <col min="6148" max="6149" width="7" style="101" customWidth="1"/>
    <col min="6150" max="6150" width="8.7109375" style="101" customWidth="1"/>
    <col min="6151" max="6151" width="11.42578125" style="101"/>
    <col min="6152" max="6152" width="50" style="101" bestFit="1" customWidth="1"/>
    <col min="6153" max="6162" width="10.7109375" style="101" bestFit="1" customWidth="1"/>
    <col min="6163" max="6378" width="11.42578125" style="101"/>
    <col min="6379" max="6379" width="46.140625" style="101" customWidth="1"/>
    <col min="6380" max="6380" width="0" style="101" hidden="1" customWidth="1"/>
    <col min="6381" max="6384" width="9.5703125" style="101" customWidth="1"/>
    <col min="6385" max="6389" width="9.28515625" style="101" customWidth="1"/>
    <col min="6390" max="6393" width="9.140625" style="101" customWidth="1"/>
    <col min="6394" max="6398" width="9.42578125" style="101" bestFit="1" customWidth="1"/>
    <col min="6399" max="6399" width="9.7109375" style="101" customWidth="1"/>
    <col min="6400" max="6402" width="7" style="101" customWidth="1"/>
    <col min="6403" max="6403" width="6.7109375" style="101" customWidth="1"/>
    <col min="6404" max="6405" width="7" style="101" customWidth="1"/>
    <col min="6406" max="6406" width="8.7109375" style="101" customWidth="1"/>
    <col min="6407" max="6407" width="11.42578125" style="101"/>
    <col min="6408" max="6408" width="50" style="101" bestFit="1" customWidth="1"/>
    <col min="6409" max="6418" width="10.7109375" style="101" bestFit="1" customWidth="1"/>
    <col min="6419" max="6634" width="11.42578125" style="101"/>
    <col min="6635" max="6635" width="46.140625" style="101" customWidth="1"/>
    <col min="6636" max="6636" width="0" style="101" hidden="1" customWidth="1"/>
    <col min="6637" max="6640" width="9.5703125" style="101" customWidth="1"/>
    <col min="6641" max="6645" width="9.28515625" style="101" customWidth="1"/>
    <col min="6646" max="6649" width="9.140625" style="101" customWidth="1"/>
    <col min="6650" max="6654" width="9.42578125" style="101" bestFit="1" customWidth="1"/>
    <col min="6655" max="6655" width="9.7109375" style="101" customWidth="1"/>
    <col min="6656" max="6658" width="7" style="101" customWidth="1"/>
    <col min="6659" max="6659" width="6.7109375" style="101" customWidth="1"/>
    <col min="6660" max="6661" width="7" style="101" customWidth="1"/>
    <col min="6662" max="6662" width="8.7109375" style="101" customWidth="1"/>
    <col min="6663" max="6663" width="11.42578125" style="101"/>
    <col min="6664" max="6664" width="50" style="101" bestFit="1" customWidth="1"/>
    <col min="6665" max="6674" width="10.7109375" style="101" bestFit="1" customWidth="1"/>
    <col min="6675" max="6890" width="11.42578125" style="101"/>
    <col min="6891" max="6891" width="46.140625" style="101" customWidth="1"/>
    <col min="6892" max="6892" width="0" style="101" hidden="1" customWidth="1"/>
    <col min="6893" max="6896" width="9.5703125" style="101" customWidth="1"/>
    <col min="6897" max="6901" width="9.28515625" style="101" customWidth="1"/>
    <col min="6902" max="6905" width="9.140625" style="101" customWidth="1"/>
    <col min="6906" max="6910" width="9.42578125" style="101" bestFit="1" customWidth="1"/>
    <col min="6911" max="6911" width="9.7109375" style="101" customWidth="1"/>
    <col min="6912" max="6914" width="7" style="101" customWidth="1"/>
    <col min="6915" max="6915" width="6.7109375" style="101" customWidth="1"/>
    <col min="6916" max="6917" width="7" style="101" customWidth="1"/>
    <col min="6918" max="6918" width="8.7109375" style="101" customWidth="1"/>
    <col min="6919" max="6919" width="11.42578125" style="101"/>
    <col min="6920" max="6920" width="50" style="101" bestFit="1" customWidth="1"/>
    <col min="6921" max="6930" width="10.7109375" style="101" bestFit="1" customWidth="1"/>
    <col min="6931" max="7146" width="11.42578125" style="101"/>
    <col min="7147" max="7147" width="46.140625" style="101" customWidth="1"/>
    <col min="7148" max="7148" width="0" style="101" hidden="1" customWidth="1"/>
    <col min="7149" max="7152" width="9.5703125" style="101" customWidth="1"/>
    <col min="7153" max="7157" width="9.28515625" style="101" customWidth="1"/>
    <col min="7158" max="7161" width="9.140625" style="101" customWidth="1"/>
    <col min="7162" max="7166" width="9.42578125" style="101" bestFit="1" customWidth="1"/>
    <col min="7167" max="7167" width="9.7109375" style="101" customWidth="1"/>
    <col min="7168" max="7170" width="7" style="101" customWidth="1"/>
    <col min="7171" max="7171" width="6.7109375" style="101" customWidth="1"/>
    <col min="7172" max="7173" width="7" style="101" customWidth="1"/>
    <col min="7174" max="7174" width="8.7109375" style="101" customWidth="1"/>
    <col min="7175" max="7175" width="11.42578125" style="101"/>
    <col min="7176" max="7176" width="50" style="101" bestFit="1" customWidth="1"/>
    <col min="7177" max="7186" width="10.7109375" style="101" bestFit="1" customWidth="1"/>
    <col min="7187" max="7402" width="11.42578125" style="101"/>
    <col min="7403" max="7403" width="46.140625" style="101" customWidth="1"/>
    <col min="7404" max="7404" width="0" style="101" hidden="1" customWidth="1"/>
    <col min="7405" max="7408" width="9.5703125" style="101" customWidth="1"/>
    <col min="7409" max="7413" width="9.28515625" style="101" customWidth="1"/>
    <col min="7414" max="7417" width="9.140625" style="101" customWidth="1"/>
    <col min="7418" max="7422" width="9.42578125" style="101" bestFit="1" customWidth="1"/>
    <col min="7423" max="7423" width="9.7109375" style="101" customWidth="1"/>
    <col min="7424" max="7426" width="7" style="101" customWidth="1"/>
    <col min="7427" max="7427" width="6.7109375" style="101" customWidth="1"/>
    <col min="7428" max="7429" width="7" style="101" customWidth="1"/>
    <col min="7430" max="7430" width="8.7109375" style="101" customWidth="1"/>
    <col min="7431" max="7431" width="11.42578125" style="101"/>
    <col min="7432" max="7432" width="50" style="101" bestFit="1" customWidth="1"/>
    <col min="7433" max="7442" width="10.7109375" style="101" bestFit="1" customWidth="1"/>
    <col min="7443" max="7658" width="11.42578125" style="101"/>
    <col min="7659" max="7659" width="46.140625" style="101" customWidth="1"/>
    <col min="7660" max="7660" width="0" style="101" hidden="1" customWidth="1"/>
    <col min="7661" max="7664" width="9.5703125" style="101" customWidth="1"/>
    <col min="7665" max="7669" width="9.28515625" style="101" customWidth="1"/>
    <col min="7670" max="7673" width="9.140625" style="101" customWidth="1"/>
    <col min="7674" max="7678" width="9.42578125" style="101" bestFit="1" customWidth="1"/>
    <col min="7679" max="7679" width="9.7109375" style="101" customWidth="1"/>
    <col min="7680" max="7682" width="7" style="101" customWidth="1"/>
    <col min="7683" max="7683" width="6.7109375" style="101" customWidth="1"/>
    <col min="7684" max="7685" width="7" style="101" customWidth="1"/>
    <col min="7686" max="7686" width="8.7109375" style="101" customWidth="1"/>
    <col min="7687" max="7687" width="11.42578125" style="101"/>
    <col min="7688" max="7688" width="50" style="101" bestFit="1" customWidth="1"/>
    <col min="7689" max="7698" width="10.7109375" style="101" bestFit="1" customWidth="1"/>
    <col min="7699" max="7914" width="11.42578125" style="101"/>
    <col min="7915" max="7915" width="46.140625" style="101" customWidth="1"/>
    <col min="7916" max="7916" width="0" style="101" hidden="1" customWidth="1"/>
    <col min="7917" max="7920" width="9.5703125" style="101" customWidth="1"/>
    <col min="7921" max="7925" width="9.28515625" style="101" customWidth="1"/>
    <col min="7926" max="7929" width="9.140625" style="101" customWidth="1"/>
    <col min="7930" max="7934" width="9.42578125" style="101" bestFit="1" customWidth="1"/>
    <col min="7935" max="7935" width="9.7109375" style="101" customWidth="1"/>
    <col min="7936" max="7938" width="7" style="101" customWidth="1"/>
    <col min="7939" max="7939" width="6.7109375" style="101" customWidth="1"/>
    <col min="7940" max="7941" width="7" style="101" customWidth="1"/>
    <col min="7942" max="7942" width="8.7109375" style="101" customWidth="1"/>
    <col min="7943" max="7943" width="11.42578125" style="101"/>
    <col min="7944" max="7944" width="50" style="101" bestFit="1" customWidth="1"/>
    <col min="7945" max="7954" width="10.7109375" style="101" bestFit="1" customWidth="1"/>
    <col min="7955" max="8170" width="11.42578125" style="101"/>
    <col min="8171" max="8171" width="46.140625" style="101" customWidth="1"/>
    <col min="8172" max="8172" width="0" style="101" hidden="1" customWidth="1"/>
    <col min="8173" max="8176" width="9.5703125" style="101" customWidth="1"/>
    <col min="8177" max="8181" width="9.28515625" style="101" customWidth="1"/>
    <col min="8182" max="8185" width="9.140625" style="101" customWidth="1"/>
    <col min="8186" max="8190" width="9.42578125" style="101" bestFit="1" customWidth="1"/>
    <col min="8191" max="8191" width="9.7109375" style="101" customWidth="1"/>
    <col min="8192" max="8194" width="7" style="101" customWidth="1"/>
    <col min="8195" max="8195" width="6.7109375" style="101" customWidth="1"/>
    <col min="8196" max="8197" width="7" style="101" customWidth="1"/>
    <col min="8198" max="8198" width="8.7109375" style="101" customWidth="1"/>
    <col min="8199" max="8199" width="11.42578125" style="101"/>
    <col min="8200" max="8200" width="50" style="101" bestFit="1" customWidth="1"/>
    <col min="8201" max="8210" width="10.7109375" style="101" bestFit="1" customWidth="1"/>
    <col min="8211" max="8426" width="11.42578125" style="101"/>
    <col min="8427" max="8427" width="46.140625" style="101" customWidth="1"/>
    <col min="8428" max="8428" width="0" style="101" hidden="1" customWidth="1"/>
    <col min="8429" max="8432" width="9.5703125" style="101" customWidth="1"/>
    <col min="8433" max="8437" width="9.28515625" style="101" customWidth="1"/>
    <col min="8438" max="8441" width="9.140625" style="101" customWidth="1"/>
    <col min="8442" max="8446" width="9.42578125" style="101" bestFit="1" customWidth="1"/>
    <col min="8447" max="8447" width="9.7109375" style="101" customWidth="1"/>
    <col min="8448" max="8450" width="7" style="101" customWidth="1"/>
    <col min="8451" max="8451" width="6.7109375" style="101" customWidth="1"/>
    <col min="8452" max="8453" width="7" style="101" customWidth="1"/>
    <col min="8454" max="8454" width="8.7109375" style="101" customWidth="1"/>
    <col min="8455" max="8455" width="11.42578125" style="101"/>
    <col min="8456" max="8456" width="50" style="101" bestFit="1" customWidth="1"/>
    <col min="8457" max="8466" width="10.7109375" style="101" bestFit="1" customWidth="1"/>
    <col min="8467" max="8682" width="11.42578125" style="101"/>
    <col min="8683" max="8683" width="46.140625" style="101" customWidth="1"/>
    <col min="8684" max="8684" width="0" style="101" hidden="1" customWidth="1"/>
    <col min="8685" max="8688" width="9.5703125" style="101" customWidth="1"/>
    <col min="8689" max="8693" width="9.28515625" style="101" customWidth="1"/>
    <col min="8694" max="8697" width="9.140625" style="101" customWidth="1"/>
    <col min="8698" max="8702" width="9.42578125" style="101" bestFit="1" customWidth="1"/>
    <col min="8703" max="8703" width="9.7109375" style="101" customWidth="1"/>
    <col min="8704" max="8706" width="7" style="101" customWidth="1"/>
    <col min="8707" max="8707" width="6.7109375" style="101" customWidth="1"/>
    <col min="8708" max="8709" width="7" style="101" customWidth="1"/>
    <col min="8710" max="8710" width="8.7109375" style="101" customWidth="1"/>
    <col min="8711" max="8711" width="11.42578125" style="101"/>
    <col min="8712" max="8712" width="50" style="101" bestFit="1" customWidth="1"/>
    <col min="8713" max="8722" width="10.7109375" style="101" bestFit="1" customWidth="1"/>
    <col min="8723" max="8938" width="11.42578125" style="101"/>
    <col min="8939" max="8939" width="46.140625" style="101" customWidth="1"/>
    <col min="8940" max="8940" width="0" style="101" hidden="1" customWidth="1"/>
    <col min="8941" max="8944" width="9.5703125" style="101" customWidth="1"/>
    <col min="8945" max="8949" width="9.28515625" style="101" customWidth="1"/>
    <col min="8950" max="8953" width="9.140625" style="101" customWidth="1"/>
    <col min="8954" max="8958" width="9.42578125" style="101" bestFit="1" customWidth="1"/>
    <col min="8959" max="8959" width="9.7109375" style="101" customWidth="1"/>
    <col min="8960" max="8962" width="7" style="101" customWidth="1"/>
    <col min="8963" max="8963" width="6.7109375" style="101" customWidth="1"/>
    <col min="8964" max="8965" width="7" style="101" customWidth="1"/>
    <col min="8966" max="8966" width="8.7109375" style="101" customWidth="1"/>
    <col min="8967" max="8967" width="11.42578125" style="101"/>
    <col min="8968" max="8968" width="50" style="101" bestFit="1" customWidth="1"/>
    <col min="8969" max="8978" width="10.7109375" style="101" bestFit="1" customWidth="1"/>
    <col min="8979" max="9194" width="11.42578125" style="101"/>
    <col min="9195" max="9195" width="46.140625" style="101" customWidth="1"/>
    <col min="9196" max="9196" width="0" style="101" hidden="1" customWidth="1"/>
    <col min="9197" max="9200" width="9.5703125" style="101" customWidth="1"/>
    <col min="9201" max="9205" width="9.28515625" style="101" customWidth="1"/>
    <col min="9206" max="9209" width="9.140625" style="101" customWidth="1"/>
    <col min="9210" max="9214" width="9.42578125" style="101" bestFit="1" customWidth="1"/>
    <col min="9215" max="9215" width="9.7109375" style="101" customWidth="1"/>
    <col min="9216" max="9218" width="7" style="101" customWidth="1"/>
    <col min="9219" max="9219" width="6.7109375" style="101" customWidth="1"/>
    <col min="9220" max="9221" width="7" style="101" customWidth="1"/>
    <col min="9222" max="9222" width="8.7109375" style="101" customWidth="1"/>
    <col min="9223" max="9223" width="11.42578125" style="101"/>
    <col min="9224" max="9224" width="50" style="101" bestFit="1" customWidth="1"/>
    <col min="9225" max="9234" width="10.7109375" style="101" bestFit="1" customWidth="1"/>
    <col min="9235" max="9450" width="11.42578125" style="101"/>
    <col min="9451" max="9451" width="46.140625" style="101" customWidth="1"/>
    <col min="9452" max="9452" width="0" style="101" hidden="1" customWidth="1"/>
    <col min="9453" max="9456" width="9.5703125" style="101" customWidth="1"/>
    <col min="9457" max="9461" width="9.28515625" style="101" customWidth="1"/>
    <col min="9462" max="9465" width="9.140625" style="101" customWidth="1"/>
    <col min="9466" max="9470" width="9.42578125" style="101" bestFit="1" customWidth="1"/>
    <col min="9471" max="9471" width="9.7109375" style="101" customWidth="1"/>
    <col min="9472" max="9474" width="7" style="101" customWidth="1"/>
    <col min="9475" max="9475" width="6.7109375" style="101" customWidth="1"/>
    <col min="9476" max="9477" width="7" style="101" customWidth="1"/>
    <col min="9478" max="9478" width="8.7109375" style="101" customWidth="1"/>
    <col min="9479" max="9479" width="11.42578125" style="101"/>
    <col min="9480" max="9480" width="50" style="101" bestFit="1" customWidth="1"/>
    <col min="9481" max="9490" width="10.7109375" style="101" bestFit="1" customWidth="1"/>
    <col min="9491" max="9706" width="11.42578125" style="101"/>
    <col min="9707" max="9707" width="46.140625" style="101" customWidth="1"/>
    <col min="9708" max="9708" width="0" style="101" hidden="1" customWidth="1"/>
    <col min="9709" max="9712" width="9.5703125" style="101" customWidth="1"/>
    <col min="9713" max="9717" width="9.28515625" style="101" customWidth="1"/>
    <col min="9718" max="9721" width="9.140625" style="101" customWidth="1"/>
    <col min="9722" max="9726" width="9.42578125" style="101" bestFit="1" customWidth="1"/>
    <col min="9727" max="9727" width="9.7109375" style="101" customWidth="1"/>
    <col min="9728" max="9730" width="7" style="101" customWidth="1"/>
    <col min="9731" max="9731" width="6.7109375" style="101" customWidth="1"/>
    <col min="9732" max="9733" width="7" style="101" customWidth="1"/>
    <col min="9734" max="9734" width="8.7109375" style="101" customWidth="1"/>
    <col min="9735" max="9735" width="11.42578125" style="101"/>
    <col min="9736" max="9736" width="50" style="101" bestFit="1" customWidth="1"/>
    <col min="9737" max="9746" width="10.7109375" style="101" bestFit="1" customWidth="1"/>
    <col min="9747" max="9962" width="11.42578125" style="101"/>
    <col min="9963" max="9963" width="46.140625" style="101" customWidth="1"/>
    <col min="9964" max="9964" width="0" style="101" hidden="1" customWidth="1"/>
    <col min="9965" max="9968" width="9.5703125" style="101" customWidth="1"/>
    <col min="9969" max="9973" width="9.28515625" style="101" customWidth="1"/>
    <col min="9974" max="9977" width="9.140625" style="101" customWidth="1"/>
    <col min="9978" max="9982" width="9.42578125" style="101" bestFit="1" customWidth="1"/>
    <col min="9983" max="9983" width="9.7109375" style="101" customWidth="1"/>
    <col min="9984" max="9986" width="7" style="101" customWidth="1"/>
    <col min="9987" max="9987" width="6.7109375" style="101" customWidth="1"/>
    <col min="9988" max="9989" width="7" style="101" customWidth="1"/>
    <col min="9990" max="9990" width="8.7109375" style="101" customWidth="1"/>
    <col min="9991" max="9991" width="11.42578125" style="101"/>
    <col min="9992" max="9992" width="50" style="101" bestFit="1" customWidth="1"/>
    <col min="9993" max="10002" width="10.7109375" style="101" bestFit="1" customWidth="1"/>
    <col min="10003" max="10218" width="11.42578125" style="101"/>
    <col min="10219" max="10219" width="46.140625" style="101" customWidth="1"/>
    <col min="10220" max="10220" width="0" style="101" hidden="1" customWidth="1"/>
    <col min="10221" max="10224" width="9.5703125" style="101" customWidth="1"/>
    <col min="10225" max="10229" width="9.28515625" style="101" customWidth="1"/>
    <col min="10230" max="10233" width="9.140625" style="101" customWidth="1"/>
    <col min="10234" max="10238" width="9.42578125" style="101" bestFit="1" customWidth="1"/>
    <col min="10239" max="10239" width="9.7109375" style="101" customWidth="1"/>
    <col min="10240" max="10242" width="7" style="101" customWidth="1"/>
    <col min="10243" max="10243" width="6.7109375" style="101" customWidth="1"/>
    <col min="10244" max="10245" width="7" style="101" customWidth="1"/>
    <col min="10246" max="10246" width="8.7109375" style="101" customWidth="1"/>
    <col min="10247" max="10247" width="11.42578125" style="101"/>
    <col min="10248" max="10248" width="50" style="101" bestFit="1" customWidth="1"/>
    <col min="10249" max="10258" width="10.7109375" style="101" bestFit="1" customWidth="1"/>
    <col min="10259" max="10474" width="11.42578125" style="101"/>
    <col min="10475" max="10475" width="46.140625" style="101" customWidth="1"/>
    <col min="10476" max="10476" width="0" style="101" hidden="1" customWidth="1"/>
    <col min="10477" max="10480" width="9.5703125" style="101" customWidth="1"/>
    <col min="10481" max="10485" width="9.28515625" style="101" customWidth="1"/>
    <col min="10486" max="10489" width="9.140625" style="101" customWidth="1"/>
    <col min="10490" max="10494" width="9.42578125" style="101" bestFit="1" customWidth="1"/>
    <col min="10495" max="10495" width="9.7109375" style="101" customWidth="1"/>
    <col min="10496" max="10498" width="7" style="101" customWidth="1"/>
    <col min="10499" max="10499" width="6.7109375" style="101" customWidth="1"/>
    <col min="10500" max="10501" width="7" style="101" customWidth="1"/>
    <col min="10502" max="10502" width="8.7109375" style="101" customWidth="1"/>
    <col min="10503" max="10503" width="11.42578125" style="101"/>
    <col min="10504" max="10504" width="50" style="101" bestFit="1" customWidth="1"/>
    <col min="10505" max="10514" width="10.7109375" style="101" bestFit="1" customWidth="1"/>
    <col min="10515" max="10730" width="11.42578125" style="101"/>
    <col min="10731" max="10731" width="46.140625" style="101" customWidth="1"/>
    <col min="10732" max="10732" width="0" style="101" hidden="1" customWidth="1"/>
    <col min="10733" max="10736" width="9.5703125" style="101" customWidth="1"/>
    <col min="10737" max="10741" width="9.28515625" style="101" customWidth="1"/>
    <col min="10742" max="10745" width="9.140625" style="101" customWidth="1"/>
    <col min="10746" max="10750" width="9.42578125" style="101" bestFit="1" customWidth="1"/>
    <col min="10751" max="10751" width="9.7109375" style="101" customWidth="1"/>
    <col min="10752" max="10754" width="7" style="101" customWidth="1"/>
    <col min="10755" max="10755" width="6.7109375" style="101" customWidth="1"/>
    <col min="10756" max="10757" width="7" style="101" customWidth="1"/>
    <col min="10758" max="10758" width="8.7109375" style="101" customWidth="1"/>
    <col min="10759" max="10759" width="11.42578125" style="101"/>
    <col min="10760" max="10760" width="50" style="101" bestFit="1" customWidth="1"/>
    <col min="10761" max="10770" width="10.7109375" style="101" bestFit="1" customWidth="1"/>
    <col min="10771" max="10986" width="11.42578125" style="101"/>
    <col min="10987" max="10987" width="46.140625" style="101" customWidth="1"/>
    <col min="10988" max="10988" width="0" style="101" hidden="1" customWidth="1"/>
    <col min="10989" max="10992" width="9.5703125" style="101" customWidth="1"/>
    <col min="10993" max="10997" width="9.28515625" style="101" customWidth="1"/>
    <col min="10998" max="11001" width="9.140625" style="101" customWidth="1"/>
    <col min="11002" max="11006" width="9.42578125" style="101" bestFit="1" customWidth="1"/>
    <col min="11007" max="11007" width="9.7109375" style="101" customWidth="1"/>
    <col min="11008" max="11010" width="7" style="101" customWidth="1"/>
    <col min="11011" max="11011" width="6.7109375" style="101" customWidth="1"/>
    <col min="11012" max="11013" width="7" style="101" customWidth="1"/>
    <col min="11014" max="11014" width="8.7109375" style="101" customWidth="1"/>
    <col min="11015" max="11015" width="11.42578125" style="101"/>
    <col min="11016" max="11016" width="50" style="101" bestFit="1" customWidth="1"/>
    <col min="11017" max="11026" width="10.7109375" style="101" bestFit="1" customWidth="1"/>
    <col min="11027" max="11242" width="11.42578125" style="101"/>
    <col min="11243" max="11243" width="46.140625" style="101" customWidth="1"/>
    <col min="11244" max="11244" width="0" style="101" hidden="1" customWidth="1"/>
    <col min="11245" max="11248" width="9.5703125" style="101" customWidth="1"/>
    <col min="11249" max="11253" width="9.28515625" style="101" customWidth="1"/>
    <col min="11254" max="11257" width="9.140625" style="101" customWidth="1"/>
    <col min="11258" max="11262" width="9.42578125" style="101" bestFit="1" customWidth="1"/>
    <col min="11263" max="11263" width="9.7109375" style="101" customWidth="1"/>
    <col min="11264" max="11266" width="7" style="101" customWidth="1"/>
    <col min="11267" max="11267" width="6.7109375" style="101" customWidth="1"/>
    <col min="11268" max="11269" width="7" style="101" customWidth="1"/>
    <col min="11270" max="11270" width="8.7109375" style="101" customWidth="1"/>
    <col min="11271" max="11271" width="11.42578125" style="101"/>
    <col min="11272" max="11272" width="50" style="101" bestFit="1" customWidth="1"/>
    <col min="11273" max="11282" width="10.7109375" style="101" bestFit="1" customWidth="1"/>
    <col min="11283" max="11498" width="11.42578125" style="101"/>
    <col min="11499" max="11499" width="46.140625" style="101" customWidth="1"/>
    <col min="11500" max="11500" width="0" style="101" hidden="1" customWidth="1"/>
    <col min="11501" max="11504" width="9.5703125" style="101" customWidth="1"/>
    <col min="11505" max="11509" width="9.28515625" style="101" customWidth="1"/>
    <col min="11510" max="11513" width="9.140625" style="101" customWidth="1"/>
    <col min="11514" max="11518" width="9.42578125" style="101" bestFit="1" customWidth="1"/>
    <col min="11519" max="11519" width="9.7109375" style="101" customWidth="1"/>
    <col min="11520" max="11522" width="7" style="101" customWidth="1"/>
    <col min="11523" max="11523" width="6.7109375" style="101" customWidth="1"/>
    <col min="11524" max="11525" width="7" style="101" customWidth="1"/>
    <col min="11526" max="11526" width="8.7109375" style="101" customWidth="1"/>
    <col min="11527" max="11527" width="11.42578125" style="101"/>
    <col min="11528" max="11528" width="50" style="101" bestFit="1" customWidth="1"/>
    <col min="11529" max="11538" width="10.7109375" style="101" bestFit="1" customWidth="1"/>
    <col min="11539" max="11754" width="11.42578125" style="101"/>
    <col min="11755" max="11755" width="46.140625" style="101" customWidth="1"/>
    <col min="11756" max="11756" width="0" style="101" hidden="1" customWidth="1"/>
    <col min="11757" max="11760" width="9.5703125" style="101" customWidth="1"/>
    <col min="11761" max="11765" width="9.28515625" style="101" customWidth="1"/>
    <col min="11766" max="11769" width="9.140625" style="101" customWidth="1"/>
    <col min="11770" max="11774" width="9.42578125" style="101" bestFit="1" customWidth="1"/>
    <col min="11775" max="11775" width="9.7109375" style="101" customWidth="1"/>
    <col min="11776" max="11778" width="7" style="101" customWidth="1"/>
    <col min="11779" max="11779" width="6.7109375" style="101" customWidth="1"/>
    <col min="11780" max="11781" width="7" style="101" customWidth="1"/>
    <col min="11782" max="11782" width="8.7109375" style="101" customWidth="1"/>
    <col min="11783" max="11783" width="11.42578125" style="101"/>
    <col min="11784" max="11784" width="50" style="101" bestFit="1" customWidth="1"/>
    <col min="11785" max="11794" width="10.7109375" style="101" bestFit="1" customWidth="1"/>
    <col min="11795" max="12010" width="11.42578125" style="101"/>
    <col min="12011" max="12011" width="46.140625" style="101" customWidth="1"/>
    <col min="12012" max="12012" width="0" style="101" hidden="1" customWidth="1"/>
    <col min="12013" max="12016" width="9.5703125" style="101" customWidth="1"/>
    <col min="12017" max="12021" width="9.28515625" style="101" customWidth="1"/>
    <col min="12022" max="12025" width="9.140625" style="101" customWidth="1"/>
    <col min="12026" max="12030" width="9.42578125" style="101" bestFit="1" customWidth="1"/>
    <col min="12031" max="12031" width="9.7109375" style="101" customWidth="1"/>
    <col min="12032" max="12034" width="7" style="101" customWidth="1"/>
    <col min="12035" max="12035" width="6.7109375" style="101" customWidth="1"/>
    <col min="12036" max="12037" width="7" style="101" customWidth="1"/>
    <col min="12038" max="12038" width="8.7109375" style="101" customWidth="1"/>
    <col min="12039" max="12039" width="11.42578125" style="101"/>
    <col min="12040" max="12040" width="50" style="101" bestFit="1" customWidth="1"/>
    <col min="12041" max="12050" width="10.7109375" style="101" bestFit="1" customWidth="1"/>
    <col min="12051" max="12266" width="11.42578125" style="101"/>
    <col min="12267" max="12267" width="46.140625" style="101" customWidth="1"/>
    <col min="12268" max="12268" width="0" style="101" hidden="1" customWidth="1"/>
    <col min="12269" max="12272" width="9.5703125" style="101" customWidth="1"/>
    <col min="12273" max="12277" width="9.28515625" style="101" customWidth="1"/>
    <col min="12278" max="12281" width="9.140625" style="101" customWidth="1"/>
    <col min="12282" max="12286" width="9.42578125" style="101" bestFit="1" customWidth="1"/>
    <col min="12287" max="12287" width="9.7109375" style="101" customWidth="1"/>
    <col min="12288" max="12290" width="7" style="101" customWidth="1"/>
    <col min="12291" max="12291" width="6.7109375" style="101" customWidth="1"/>
    <col min="12292" max="12293" width="7" style="101" customWidth="1"/>
    <col min="12294" max="12294" width="8.7109375" style="101" customWidth="1"/>
    <col min="12295" max="12295" width="11.42578125" style="101"/>
    <col min="12296" max="12296" width="50" style="101" bestFit="1" customWidth="1"/>
    <col min="12297" max="12306" width="10.7109375" style="101" bestFit="1" customWidth="1"/>
    <col min="12307" max="12522" width="11.42578125" style="101"/>
    <col min="12523" max="12523" width="46.140625" style="101" customWidth="1"/>
    <col min="12524" max="12524" width="0" style="101" hidden="1" customWidth="1"/>
    <col min="12525" max="12528" width="9.5703125" style="101" customWidth="1"/>
    <col min="12529" max="12533" width="9.28515625" style="101" customWidth="1"/>
    <col min="12534" max="12537" width="9.140625" style="101" customWidth="1"/>
    <col min="12538" max="12542" width="9.42578125" style="101" bestFit="1" customWidth="1"/>
    <col min="12543" max="12543" width="9.7109375" style="101" customWidth="1"/>
    <col min="12544" max="12546" width="7" style="101" customWidth="1"/>
    <col min="12547" max="12547" width="6.7109375" style="101" customWidth="1"/>
    <col min="12548" max="12549" width="7" style="101" customWidth="1"/>
    <col min="12550" max="12550" width="8.7109375" style="101" customWidth="1"/>
    <col min="12551" max="12551" width="11.42578125" style="101"/>
    <col min="12552" max="12552" width="50" style="101" bestFit="1" customWidth="1"/>
    <col min="12553" max="12562" width="10.7109375" style="101" bestFit="1" customWidth="1"/>
    <col min="12563" max="12778" width="11.42578125" style="101"/>
    <col min="12779" max="12779" width="46.140625" style="101" customWidth="1"/>
    <col min="12780" max="12780" width="0" style="101" hidden="1" customWidth="1"/>
    <col min="12781" max="12784" width="9.5703125" style="101" customWidth="1"/>
    <col min="12785" max="12789" width="9.28515625" style="101" customWidth="1"/>
    <col min="12790" max="12793" width="9.140625" style="101" customWidth="1"/>
    <col min="12794" max="12798" width="9.42578125" style="101" bestFit="1" customWidth="1"/>
    <col min="12799" max="12799" width="9.7109375" style="101" customWidth="1"/>
    <col min="12800" max="12802" width="7" style="101" customWidth="1"/>
    <col min="12803" max="12803" width="6.7109375" style="101" customWidth="1"/>
    <col min="12804" max="12805" width="7" style="101" customWidth="1"/>
    <col min="12806" max="12806" width="8.7109375" style="101" customWidth="1"/>
    <col min="12807" max="12807" width="11.42578125" style="101"/>
    <col min="12808" max="12808" width="50" style="101" bestFit="1" customWidth="1"/>
    <col min="12809" max="12818" width="10.7109375" style="101" bestFit="1" customWidth="1"/>
    <col min="12819" max="13034" width="11.42578125" style="101"/>
    <col min="13035" max="13035" width="46.140625" style="101" customWidth="1"/>
    <col min="13036" max="13036" width="0" style="101" hidden="1" customWidth="1"/>
    <col min="13037" max="13040" width="9.5703125" style="101" customWidth="1"/>
    <col min="13041" max="13045" width="9.28515625" style="101" customWidth="1"/>
    <col min="13046" max="13049" width="9.140625" style="101" customWidth="1"/>
    <col min="13050" max="13054" width="9.42578125" style="101" bestFit="1" customWidth="1"/>
    <col min="13055" max="13055" width="9.7109375" style="101" customWidth="1"/>
    <col min="13056" max="13058" width="7" style="101" customWidth="1"/>
    <col min="13059" max="13059" width="6.7109375" style="101" customWidth="1"/>
    <col min="13060" max="13061" width="7" style="101" customWidth="1"/>
    <col min="13062" max="13062" width="8.7109375" style="101" customWidth="1"/>
    <col min="13063" max="13063" width="11.42578125" style="101"/>
    <col min="13064" max="13064" width="50" style="101" bestFit="1" customWidth="1"/>
    <col min="13065" max="13074" width="10.7109375" style="101" bestFit="1" customWidth="1"/>
    <col min="13075" max="13290" width="11.42578125" style="101"/>
    <col min="13291" max="13291" width="46.140625" style="101" customWidth="1"/>
    <col min="13292" max="13292" width="0" style="101" hidden="1" customWidth="1"/>
    <col min="13293" max="13296" width="9.5703125" style="101" customWidth="1"/>
    <col min="13297" max="13301" width="9.28515625" style="101" customWidth="1"/>
    <col min="13302" max="13305" width="9.140625" style="101" customWidth="1"/>
    <col min="13306" max="13310" width="9.42578125" style="101" bestFit="1" customWidth="1"/>
    <col min="13311" max="13311" width="9.7109375" style="101" customWidth="1"/>
    <col min="13312" max="13314" width="7" style="101" customWidth="1"/>
    <col min="13315" max="13315" width="6.7109375" style="101" customWidth="1"/>
    <col min="13316" max="13317" width="7" style="101" customWidth="1"/>
    <col min="13318" max="13318" width="8.7109375" style="101" customWidth="1"/>
    <col min="13319" max="13319" width="11.42578125" style="101"/>
    <col min="13320" max="13320" width="50" style="101" bestFit="1" customWidth="1"/>
    <col min="13321" max="13330" width="10.7109375" style="101" bestFit="1" customWidth="1"/>
    <col min="13331" max="13546" width="11.42578125" style="101"/>
    <col min="13547" max="13547" width="46.140625" style="101" customWidth="1"/>
    <col min="13548" max="13548" width="0" style="101" hidden="1" customWidth="1"/>
    <col min="13549" max="13552" width="9.5703125" style="101" customWidth="1"/>
    <col min="13553" max="13557" width="9.28515625" style="101" customWidth="1"/>
    <col min="13558" max="13561" width="9.140625" style="101" customWidth="1"/>
    <col min="13562" max="13566" width="9.42578125" style="101" bestFit="1" customWidth="1"/>
    <col min="13567" max="13567" width="9.7109375" style="101" customWidth="1"/>
    <col min="13568" max="13570" width="7" style="101" customWidth="1"/>
    <col min="13571" max="13571" width="6.7109375" style="101" customWidth="1"/>
    <col min="13572" max="13573" width="7" style="101" customWidth="1"/>
    <col min="13574" max="13574" width="8.7109375" style="101" customWidth="1"/>
    <col min="13575" max="13575" width="11.42578125" style="101"/>
    <col min="13576" max="13576" width="50" style="101" bestFit="1" customWidth="1"/>
    <col min="13577" max="13586" width="10.7109375" style="101" bestFit="1" customWidth="1"/>
    <col min="13587" max="13802" width="11.42578125" style="101"/>
    <col min="13803" max="13803" width="46.140625" style="101" customWidth="1"/>
    <col min="13804" max="13804" width="0" style="101" hidden="1" customWidth="1"/>
    <col min="13805" max="13808" width="9.5703125" style="101" customWidth="1"/>
    <col min="13809" max="13813" width="9.28515625" style="101" customWidth="1"/>
    <col min="13814" max="13817" width="9.140625" style="101" customWidth="1"/>
    <col min="13818" max="13822" width="9.42578125" style="101" bestFit="1" customWidth="1"/>
    <col min="13823" max="13823" width="9.7109375" style="101" customWidth="1"/>
    <col min="13824" max="13826" width="7" style="101" customWidth="1"/>
    <col min="13827" max="13827" width="6.7109375" style="101" customWidth="1"/>
    <col min="13828" max="13829" width="7" style="101" customWidth="1"/>
    <col min="13830" max="13830" width="8.7109375" style="101" customWidth="1"/>
    <col min="13831" max="13831" width="11.42578125" style="101"/>
    <col min="13832" max="13832" width="50" style="101" bestFit="1" customWidth="1"/>
    <col min="13833" max="13842" width="10.7109375" style="101" bestFit="1" customWidth="1"/>
    <col min="13843" max="14058" width="11.42578125" style="101"/>
    <col min="14059" max="14059" width="46.140625" style="101" customWidth="1"/>
    <col min="14060" max="14060" width="0" style="101" hidden="1" customWidth="1"/>
    <col min="14061" max="14064" width="9.5703125" style="101" customWidth="1"/>
    <col min="14065" max="14069" width="9.28515625" style="101" customWidth="1"/>
    <col min="14070" max="14073" width="9.140625" style="101" customWidth="1"/>
    <col min="14074" max="14078" width="9.42578125" style="101" bestFit="1" customWidth="1"/>
    <col min="14079" max="14079" width="9.7109375" style="101" customWidth="1"/>
    <col min="14080" max="14082" width="7" style="101" customWidth="1"/>
    <col min="14083" max="14083" width="6.7109375" style="101" customWidth="1"/>
    <col min="14084" max="14085" width="7" style="101" customWidth="1"/>
    <col min="14086" max="14086" width="8.7109375" style="101" customWidth="1"/>
    <col min="14087" max="14087" width="11.42578125" style="101"/>
    <col min="14088" max="14088" width="50" style="101" bestFit="1" customWidth="1"/>
    <col min="14089" max="14098" width="10.7109375" style="101" bestFit="1" customWidth="1"/>
    <col min="14099" max="14314" width="11.42578125" style="101"/>
    <col min="14315" max="14315" width="46.140625" style="101" customWidth="1"/>
    <col min="14316" max="14316" width="0" style="101" hidden="1" customWidth="1"/>
    <col min="14317" max="14320" width="9.5703125" style="101" customWidth="1"/>
    <col min="14321" max="14325" width="9.28515625" style="101" customWidth="1"/>
    <col min="14326" max="14329" width="9.140625" style="101" customWidth="1"/>
    <col min="14330" max="14334" width="9.42578125" style="101" bestFit="1" customWidth="1"/>
    <col min="14335" max="14335" width="9.7109375" style="101" customWidth="1"/>
    <col min="14336" max="14338" width="7" style="101" customWidth="1"/>
    <col min="14339" max="14339" width="6.7109375" style="101" customWidth="1"/>
    <col min="14340" max="14341" width="7" style="101" customWidth="1"/>
    <col min="14342" max="14342" width="8.7109375" style="101" customWidth="1"/>
    <col min="14343" max="14343" width="11.42578125" style="101"/>
    <col min="14344" max="14344" width="50" style="101" bestFit="1" customWidth="1"/>
    <col min="14345" max="14354" width="10.7109375" style="101" bestFit="1" customWidth="1"/>
    <col min="14355" max="14570" width="11.42578125" style="101"/>
    <col min="14571" max="14571" width="46.140625" style="101" customWidth="1"/>
    <col min="14572" max="14572" width="0" style="101" hidden="1" customWidth="1"/>
    <col min="14573" max="14576" width="9.5703125" style="101" customWidth="1"/>
    <col min="14577" max="14581" width="9.28515625" style="101" customWidth="1"/>
    <col min="14582" max="14585" width="9.140625" style="101" customWidth="1"/>
    <col min="14586" max="14590" width="9.42578125" style="101" bestFit="1" customWidth="1"/>
    <col min="14591" max="14591" width="9.7109375" style="101" customWidth="1"/>
    <col min="14592" max="14594" width="7" style="101" customWidth="1"/>
    <col min="14595" max="14595" width="6.7109375" style="101" customWidth="1"/>
    <col min="14596" max="14597" width="7" style="101" customWidth="1"/>
    <col min="14598" max="14598" width="8.7109375" style="101" customWidth="1"/>
    <col min="14599" max="14599" width="11.42578125" style="101"/>
    <col min="14600" max="14600" width="50" style="101" bestFit="1" customWidth="1"/>
    <col min="14601" max="14610" width="10.7109375" style="101" bestFit="1" customWidth="1"/>
    <col min="14611" max="14826" width="11.42578125" style="101"/>
    <col min="14827" max="14827" width="46.140625" style="101" customWidth="1"/>
    <col min="14828" max="14828" width="0" style="101" hidden="1" customWidth="1"/>
    <col min="14829" max="14832" width="9.5703125" style="101" customWidth="1"/>
    <col min="14833" max="14837" width="9.28515625" style="101" customWidth="1"/>
    <col min="14838" max="14841" width="9.140625" style="101" customWidth="1"/>
    <col min="14842" max="14846" width="9.42578125" style="101" bestFit="1" customWidth="1"/>
    <col min="14847" max="14847" width="9.7109375" style="101" customWidth="1"/>
    <col min="14848" max="14850" width="7" style="101" customWidth="1"/>
    <col min="14851" max="14851" width="6.7109375" style="101" customWidth="1"/>
    <col min="14852" max="14853" width="7" style="101" customWidth="1"/>
    <col min="14854" max="14854" width="8.7109375" style="101" customWidth="1"/>
    <col min="14855" max="14855" width="11.42578125" style="101"/>
    <col min="14856" max="14856" width="50" style="101" bestFit="1" customWidth="1"/>
    <col min="14857" max="14866" width="10.7109375" style="101" bestFit="1" customWidth="1"/>
    <col min="14867" max="15082" width="11.42578125" style="101"/>
    <col min="15083" max="15083" width="46.140625" style="101" customWidth="1"/>
    <col min="15084" max="15084" width="0" style="101" hidden="1" customWidth="1"/>
    <col min="15085" max="15088" width="9.5703125" style="101" customWidth="1"/>
    <col min="15089" max="15093" width="9.28515625" style="101" customWidth="1"/>
    <col min="15094" max="15097" width="9.140625" style="101" customWidth="1"/>
    <col min="15098" max="15102" width="9.42578125" style="101" bestFit="1" customWidth="1"/>
    <col min="15103" max="15103" width="9.7109375" style="101" customWidth="1"/>
    <col min="15104" max="15106" width="7" style="101" customWidth="1"/>
    <col min="15107" max="15107" width="6.7109375" style="101" customWidth="1"/>
    <col min="15108" max="15109" width="7" style="101" customWidth="1"/>
    <col min="15110" max="15110" width="8.7109375" style="101" customWidth="1"/>
    <col min="15111" max="15111" width="11.42578125" style="101"/>
    <col min="15112" max="15112" width="50" style="101" bestFit="1" customWidth="1"/>
    <col min="15113" max="15122" width="10.7109375" style="101" bestFit="1" customWidth="1"/>
    <col min="15123" max="15338" width="11.42578125" style="101"/>
    <col min="15339" max="15339" width="46.140625" style="101" customWidth="1"/>
    <col min="15340" max="15340" width="0" style="101" hidden="1" customWidth="1"/>
    <col min="15341" max="15344" width="9.5703125" style="101" customWidth="1"/>
    <col min="15345" max="15349" width="9.28515625" style="101" customWidth="1"/>
    <col min="15350" max="15353" width="9.140625" style="101" customWidth="1"/>
    <col min="15354" max="15358" width="9.42578125" style="101" bestFit="1" customWidth="1"/>
    <col min="15359" max="15359" width="9.7109375" style="101" customWidth="1"/>
    <col min="15360" max="15362" width="7" style="101" customWidth="1"/>
    <col min="15363" max="15363" width="6.7109375" style="101" customWidth="1"/>
    <col min="15364" max="15365" width="7" style="101" customWidth="1"/>
    <col min="15366" max="15366" width="8.7109375" style="101" customWidth="1"/>
    <col min="15367" max="15367" width="11.42578125" style="101"/>
    <col min="15368" max="15368" width="50" style="101" bestFit="1" customWidth="1"/>
    <col min="15369" max="15378" width="10.7109375" style="101" bestFit="1" customWidth="1"/>
    <col min="15379" max="15594" width="11.42578125" style="101"/>
    <col min="15595" max="15595" width="46.140625" style="101" customWidth="1"/>
    <col min="15596" max="15596" width="0" style="101" hidden="1" customWidth="1"/>
    <col min="15597" max="15600" width="9.5703125" style="101" customWidth="1"/>
    <col min="15601" max="15605" width="9.28515625" style="101" customWidth="1"/>
    <col min="15606" max="15609" width="9.140625" style="101" customWidth="1"/>
    <col min="15610" max="15614" width="9.42578125" style="101" bestFit="1" customWidth="1"/>
    <col min="15615" max="15615" width="9.7109375" style="101" customWidth="1"/>
    <col min="15616" max="15618" width="7" style="101" customWidth="1"/>
    <col min="15619" max="15619" width="6.7109375" style="101" customWidth="1"/>
    <col min="15620" max="15621" width="7" style="101" customWidth="1"/>
    <col min="15622" max="15622" width="8.7109375" style="101" customWidth="1"/>
    <col min="15623" max="15623" width="11.42578125" style="101"/>
    <col min="15624" max="15624" width="50" style="101" bestFit="1" customWidth="1"/>
    <col min="15625" max="15634" width="10.7109375" style="101" bestFit="1" customWidth="1"/>
    <col min="15635" max="15850" width="11.42578125" style="101"/>
    <col min="15851" max="15851" width="46.140625" style="101" customWidth="1"/>
    <col min="15852" max="15852" width="0" style="101" hidden="1" customWidth="1"/>
    <col min="15853" max="15856" width="9.5703125" style="101" customWidth="1"/>
    <col min="15857" max="15861" width="9.28515625" style="101" customWidth="1"/>
    <col min="15862" max="15865" width="9.140625" style="101" customWidth="1"/>
    <col min="15866" max="15870" width="9.42578125" style="101" bestFit="1" customWidth="1"/>
    <col min="15871" max="15871" width="9.7109375" style="101" customWidth="1"/>
    <col min="15872" max="15874" width="7" style="101" customWidth="1"/>
    <col min="15875" max="15875" width="6.7109375" style="101" customWidth="1"/>
    <col min="15876" max="15877" width="7" style="101" customWidth="1"/>
    <col min="15878" max="15878" width="8.7109375" style="101" customWidth="1"/>
    <col min="15879" max="15879" width="11.42578125" style="101"/>
    <col min="15880" max="15880" width="50" style="101" bestFit="1" customWidth="1"/>
    <col min="15881" max="15890" width="10.7109375" style="101" bestFit="1" customWidth="1"/>
    <col min="15891" max="16106" width="11.42578125" style="101"/>
    <col min="16107" max="16107" width="46.140625" style="101" customWidth="1"/>
    <col min="16108" max="16108" width="0" style="101" hidden="1" customWidth="1"/>
    <col min="16109" max="16112" width="9.5703125" style="101" customWidth="1"/>
    <col min="16113" max="16117" width="9.28515625" style="101" customWidth="1"/>
    <col min="16118" max="16121" width="9.140625" style="101" customWidth="1"/>
    <col min="16122" max="16126" width="9.42578125" style="101" bestFit="1" customWidth="1"/>
    <col min="16127" max="16127" width="9.7109375" style="101" customWidth="1"/>
    <col min="16128" max="16130" width="7" style="101" customWidth="1"/>
    <col min="16131" max="16131" width="6.7109375" style="101" customWidth="1"/>
    <col min="16132" max="16133" width="7" style="101" customWidth="1"/>
    <col min="16134" max="16134" width="8.7109375" style="101" customWidth="1"/>
    <col min="16135" max="16135" width="11.42578125" style="101"/>
    <col min="16136" max="16136" width="50" style="101" bestFit="1" customWidth="1"/>
    <col min="16137" max="16146" width="10.7109375" style="101" bestFit="1" customWidth="1"/>
    <col min="16147" max="16384" width="11.42578125" style="101"/>
  </cols>
  <sheetData>
    <row r="1" spans="1:20" s="102" customFormat="1">
      <c r="A1" s="98" t="s">
        <v>271</v>
      </c>
      <c r="B1" s="99"/>
      <c r="C1" s="100"/>
      <c r="D1" s="100"/>
      <c r="E1" s="100"/>
      <c r="F1" s="123" t="s">
        <v>570</v>
      </c>
      <c r="G1" s="123" t="s">
        <v>571</v>
      </c>
      <c r="H1" s="123" t="s">
        <v>572</v>
      </c>
      <c r="I1" s="123" t="s">
        <v>573</v>
      </c>
      <c r="J1" s="138"/>
      <c r="K1" s="138"/>
      <c r="L1" s="138"/>
      <c r="M1" s="138"/>
      <c r="N1" s="138"/>
      <c r="O1" s="138"/>
      <c r="P1" s="138"/>
      <c r="Q1" s="138"/>
      <c r="R1" s="138"/>
      <c r="S1" s="101"/>
    </row>
    <row r="2" spans="1:20" s="102" customFormat="1">
      <c r="A2" s="100" t="s">
        <v>272</v>
      </c>
      <c r="B2" s="103"/>
      <c r="D2" s="104"/>
      <c r="F2" s="105">
        <v>0.88257512858251608</v>
      </c>
      <c r="G2" s="105">
        <v>0.95026864094479502</v>
      </c>
      <c r="H2" s="105">
        <v>0.96927401376369093</v>
      </c>
      <c r="I2" s="105">
        <v>1</v>
      </c>
      <c r="J2" s="138"/>
      <c r="K2" s="138"/>
      <c r="L2" s="138"/>
      <c r="M2" s="138"/>
      <c r="N2" s="138"/>
      <c r="O2" s="138"/>
      <c r="P2" s="138"/>
      <c r="Q2" s="138"/>
      <c r="R2" s="138"/>
      <c r="S2" s="101"/>
    </row>
    <row r="3" spans="1:20" s="102" customFormat="1">
      <c r="A3" s="100" t="str">
        <f>+'Datos '!B6&amp;" - "&amp; 'Histórico Deptos'!A3</f>
        <v xml:space="preserve">CIÉNAGA - </v>
      </c>
      <c r="B3" s="103"/>
      <c r="C3" s="104"/>
      <c r="D3" s="104"/>
      <c r="E3" s="104"/>
      <c r="F3" s="106"/>
      <c r="G3" s="106"/>
      <c r="H3" s="100"/>
      <c r="I3" s="100"/>
      <c r="J3" s="138"/>
      <c r="K3" s="138"/>
      <c r="L3" s="138"/>
      <c r="M3" s="138"/>
      <c r="N3" s="138"/>
      <c r="O3" s="138"/>
      <c r="P3" s="138"/>
      <c r="Q3" s="138"/>
      <c r="R3" s="138"/>
      <c r="S3" s="101"/>
    </row>
    <row r="4" spans="1:20" s="102" customFormat="1">
      <c r="A4" s="100"/>
      <c r="B4" s="98" t="s">
        <v>273</v>
      </c>
      <c r="C4" s="100"/>
      <c r="D4" s="107"/>
      <c r="E4" s="107"/>
      <c r="F4" s="98" t="s">
        <v>274</v>
      </c>
      <c r="G4" s="100"/>
      <c r="H4" s="100"/>
      <c r="I4" s="100"/>
      <c r="J4" s="140" t="s">
        <v>275</v>
      </c>
      <c r="K4" s="138"/>
      <c r="L4" s="138"/>
      <c r="M4" s="138"/>
      <c r="N4" s="140" t="s">
        <v>276</v>
      </c>
      <c r="O4" s="138"/>
      <c r="P4" s="138"/>
      <c r="Q4" s="138"/>
      <c r="R4" s="138"/>
      <c r="S4" s="101"/>
    </row>
    <row r="5" spans="1:20" s="126" customFormat="1" ht="21" customHeight="1">
      <c r="A5" s="124" t="s">
        <v>277</v>
      </c>
      <c r="B5" s="124">
        <v>2013</v>
      </c>
      <c r="C5" s="124">
        <v>2014</v>
      </c>
      <c r="D5" s="124">
        <v>2015</v>
      </c>
      <c r="E5" s="124">
        <v>2016</v>
      </c>
      <c r="F5" s="124">
        <v>2013</v>
      </c>
      <c r="G5" s="124">
        <v>2014</v>
      </c>
      <c r="H5" s="124">
        <v>2015</v>
      </c>
      <c r="I5" s="124">
        <v>2016</v>
      </c>
      <c r="J5" s="208" t="s">
        <v>567</v>
      </c>
      <c r="K5" s="208" t="s">
        <v>568</v>
      </c>
      <c r="L5" s="208" t="s">
        <v>569</v>
      </c>
      <c r="M5" s="185" t="s">
        <v>278</v>
      </c>
      <c r="N5" s="124">
        <v>2013</v>
      </c>
      <c r="O5" s="124">
        <v>2014</v>
      </c>
      <c r="P5" s="124">
        <v>2015</v>
      </c>
      <c r="Q5" s="124">
        <v>2016</v>
      </c>
      <c r="R5" s="209" t="s">
        <v>278</v>
      </c>
      <c r="S5" s="125"/>
    </row>
    <row r="6" spans="1:20" s="102" customFormat="1">
      <c r="A6" s="24" t="s">
        <v>26</v>
      </c>
      <c r="B6" s="141">
        <v>79789.25749400002</v>
      </c>
      <c r="C6" s="141">
        <v>194932.36837000001</v>
      </c>
      <c r="D6" s="141">
        <v>157627.796875</v>
      </c>
      <c r="E6" s="141">
        <v>180066.55589700001</v>
      </c>
      <c r="F6" s="181">
        <f t="shared" ref="F6:F39" si="0">+B6/F$2</f>
        <v>90405.060045310514</v>
      </c>
      <c r="G6" s="181">
        <f t="shared" ref="G6:G39" si="1">+C6/G$2</f>
        <v>205133.95893627559</v>
      </c>
      <c r="H6" s="181">
        <f t="shared" ref="H6:H39" si="2">+D6/H$2</f>
        <v>162624.59803593752</v>
      </c>
      <c r="I6" s="181">
        <f t="shared" ref="I6:I39" si="3">+E6/I$2</f>
        <v>180066.55589700001</v>
      </c>
      <c r="J6" s="186">
        <f t="shared" ref="J6:J39" si="4">IF(ISERROR(G6/F6),0,(G6/F6-1)*100)</f>
        <v>126.90539537661235</v>
      </c>
      <c r="K6" s="186">
        <f t="shared" ref="K6:K39" si="5">IF(ISERROR(H6/G6),0,(H6/G6-1)*100)</f>
        <v>-20.722732170124747</v>
      </c>
      <c r="L6" s="186">
        <f t="shared" ref="L6:L39" si="6">IF(ISERROR(I6/H6),0,(I6/H6-1)*100)</f>
        <v>10.72528883804409</v>
      </c>
      <c r="M6" s="186">
        <f>AVERAGE(J6:L6)</f>
        <v>38.969317348177235</v>
      </c>
      <c r="N6" s="186">
        <f>IFERROR((B6/B$6*100),0)</f>
        <v>100</v>
      </c>
      <c r="O6" s="186">
        <f t="shared" ref="O6:Q16" si="7">IFERROR((C6/C$6*100),0)</f>
        <v>100</v>
      </c>
      <c r="P6" s="186">
        <f t="shared" si="7"/>
        <v>100</v>
      </c>
      <c r="Q6" s="186">
        <f t="shared" si="7"/>
        <v>100</v>
      </c>
      <c r="R6" s="186">
        <f>IFERROR(AVERAGE(N6:Q6),0)</f>
        <v>100</v>
      </c>
      <c r="S6" s="101"/>
    </row>
    <row r="7" spans="1:20" s="102" customFormat="1">
      <c r="A7" s="7" t="s">
        <v>279</v>
      </c>
      <c r="B7" s="142">
        <v>23397.014000000003</v>
      </c>
      <c r="C7" s="142">
        <v>21873.684999999998</v>
      </c>
      <c r="D7" s="142">
        <v>20031.978515625</v>
      </c>
      <c r="E7" s="142">
        <v>19349.989766000006</v>
      </c>
      <c r="F7" s="182">
        <f t="shared" si="0"/>
        <v>26509.940335138854</v>
      </c>
      <c r="G7" s="182">
        <f t="shared" si="1"/>
        <v>23018.42243079</v>
      </c>
      <c r="H7" s="182">
        <f t="shared" si="2"/>
        <v>20666.992234570313</v>
      </c>
      <c r="I7" s="182">
        <f t="shared" si="3"/>
        <v>19349.989766000006</v>
      </c>
      <c r="J7" s="187">
        <f t="shared" si="4"/>
        <v>-13.170598878039929</v>
      </c>
      <c r="K7" s="187">
        <f t="shared" si="5"/>
        <v>-10.215427244372567</v>
      </c>
      <c r="L7" s="187">
        <f t="shared" si="6"/>
        <v>-6.3724922021662911</v>
      </c>
      <c r="M7" s="187">
        <f t="shared" ref="M7" si="8">AVERAGE(J7:L7)</f>
        <v>-9.9195061081929286</v>
      </c>
      <c r="N7" s="187">
        <f t="shared" ref="N7:N16" si="9">IFERROR((B7/B$6*100),0)</f>
        <v>29.323513885010659</v>
      </c>
      <c r="O7" s="187">
        <f t="shared" si="7"/>
        <v>11.221166183381962</v>
      </c>
      <c r="P7" s="187">
        <f t="shared" si="7"/>
        <v>12.708404807250147</v>
      </c>
      <c r="Q7" s="187">
        <f t="shared" si="7"/>
        <v>10.746020919658399</v>
      </c>
      <c r="R7" s="187">
        <f t="shared" ref="R7:R39" si="10">IFERROR(AVERAGE(N7:Q7),0)</f>
        <v>15.999776448825292</v>
      </c>
      <c r="S7" s="110"/>
    </row>
    <row r="8" spans="1:20" s="102" customFormat="1">
      <c r="A8" s="108" t="s">
        <v>280</v>
      </c>
      <c r="B8" s="109">
        <v>21952.212000000003</v>
      </c>
      <c r="C8" s="109">
        <v>19703.934000000001</v>
      </c>
      <c r="D8" s="109">
        <v>18448.7265625</v>
      </c>
      <c r="E8" s="109">
        <v>16742.799046000004</v>
      </c>
      <c r="F8" s="188">
        <f t="shared" si="0"/>
        <v>24872.910292925379</v>
      </c>
      <c r="G8" s="189">
        <f t="shared" si="1"/>
        <v>20735.119681956003</v>
      </c>
      <c r="H8" s="189">
        <f t="shared" si="2"/>
        <v>19033.55119453125</v>
      </c>
      <c r="I8" s="189">
        <f t="shared" si="3"/>
        <v>16742.799046000004</v>
      </c>
      <c r="J8" s="190">
        <f t="shared" si="4"/>
        <v>-16.635731654394668</v>
      </c>
      <c r="K8" s="191">
        <f t="shared" si="5"/>
        <v>-8.2062149315949355</v>
      </c>
      <c r="L8" s="191">
        <f t="shared" si="6"/>
        <v>-12.035337626272435</v>
      </c>
      <c r="M8" s="192">
        <f>IFERROR(AVERAGE(J8:L8),0)</f>
        <v>-12.292428070754013</v>
      </c>
      <c r="N8" s="190">
        <f t="shared" si="9"/>
        <v>27.512741300607747</v>
      </c>
      <c r="O8" s="190">
        <f t="shared" si="7"/>
        <v>10.108087314980997</v>
      </c>
      <c r="P8" s="190">
        <f t="shared" si="7"/>
        <v>11.703980470608224</v>
      </c>
      <c r="Q8" s="190">
        <f t="shared" si="7"/>
        <v>9.2981170004590208</v>
      </c>
      <c r="R8" s="192">
        <f t="shared" si="10"/>
        <v>14.655731521663997</v>
      </c>
      <c r="S8" s="101"/>
      <c r="T8" s="102">
        <f>SUM(I8/F8)-1</f>
        <v>-0.32686610256612503</v>
      </c>
    </row>
    <row r="9" spans="1:20" s="102" customFormat="1">
      <c r="A9" s="108" t="s">
        <v>281</v>
      </c>
      <c r="B9" s="109">
        <v>2293.4830000000002</v>
      </c>
      <c r="C9" s="109">
        <v>1325.136</v>
      </c>
      <c r="D9" s="109">
        <v>1198.57702636718</v>
      </c>
      <c r="E9" s="214">
        <v>1282.7431550000001</v>
      </c>
      <c r="F9" s="188">
        <f t="shared" si="0"/>
        <v>2598.6263670079975</v>
      </c>
      <c r="G9" s="189">
        <f t="shared" si="1"/>
        <v>1394.485667424</v>
      </c>
      <c r="H9" s="189">
        <f t="shared" si="2"/>
        <v>1236.5719181030197</v>
      </c>
      <c r="I9" s="189">
        <f t="shared" si="3"/>
        <v>1282.7431550000001</v>
      </c>
      <c r="J9" s="190">
        <f t="shared" si="4"/>
        <v>-46.337584920698674</v>
      </c>
      <c r="K9" s="191">
        <f t="shared" si="5"/>
        <v>-11.324157215089247</v>
      </c>
      <c r="L9" s="191">
        <f t="shared" si="6"/>
        <v>3.7338092690807789</v>
      </c>
      <c r="M9" s="192">
        <f t="shared" ref="M9:M39" si="11">IFERROR(AVERAGE(J9:L9),0)</f>
        <v>-17.975977622235714</v>
      </c>
      <c r="N9" s="190">
        <f t="shared" si="9"/>
        <v>2.8744257961950144</v>
      </c>
      <c r="O9" s="190">
        <f t="shared" si="7"/>
        <v>0.67979269481031845</v>
      </c>
      <c r="P9" s="190">
        <f t="shared" si="7"/>
        <v>0.76038430411969815</v>
      </c>
      <c r="Q9" s="190">
        <f t="shared" si="7"/>
        <v>0.71237168313128774</v>
      </c>
      <c r="R9" s="192">
        <f t="shared" si="10"/>
        <v>1.2567436195640798</v>
      </c>
      <c r="S9" s="101"/>
    </row>
    <row r="10" spans="1:20" s="102" customFormat="1">
      <c r="A10" s="108" t="s">
        <v>282</v>
      </c>
      <c r="B10" s="109">
        <v>16061.130999999999</v>
      </c>
      <c r="C10" s="109">
        <v>8546.3330000000005</v>
      </c>
      <c r="D10" s="109">
        <v>11088.49609375</v>
      </c>
      <c r="E10" s="109">
        <v>10595.684770000002</v>
      </c>
      <c r="F10" s="188">
        <f t="shared" si="0"/>
        <v>18198.032643176131</v>
      </c>
      <c r="G10" s="189">
        <f t="shared" si="1"/>
        <v>8993.5967912220021</v>
      </c>
      <c r="H10" s="189">
        <f t="shared" si="2"/>
        <v>11440.001419921875</v>
      </c>
      <c r="I10" s="189">
        <f t="shared" si="3"/>
        <v>10595.684770000002</v>
      </c>
      <c r="J10" s="190">
        <f t="shared" si="4"/>
        <v>-50.579290808150049</v>
      </c>
      <c r="K10" s="191">
        <f t="shared" si="5"/>
        <v>27.20162672944857</v>
      </c>
      <c r="L10" s="191">
        <f t="shared" si="6"/>
        <v>-7.3803893804729848</v>
      </c>
      <c r="M10" s="192">
        <f t="shared" si="11"/>
        <v>-10.252684486391487</v>
      </c>
      <c r="N10" s="190">
        <f t="shared" si="9"/>
        <v>20.129440358819934</v>
      </c>
      <c r="O10" s="190">
        <f t="shared" si="7"/>
        <v>4.3842554581690889</v>
      </c>
      <c r="P10" s="190">
        <f t="shared" si="7"/>
        <v>7.0346070385943786</v>
      </c>
      <c r="Q10" s="190">
        <f t="shared" si="7"/>
        <v>5.8843157838043201</v>
      </c>
      <c r="R10" s="192">
        <f t="shared" si="10"/>
        <v>9.3581546598469298</v>
      </c>
      <c r="S10" s="101"/>
    </row>
    <row r="11" spans="1:20" s="102" customFormat="1">
      <c r="A11" s="111" t="s">
        <v>283</v>
      </c>
      <c r="B11" s="109">
        <v>683.69899999999996</v>
      </c>
      <c r="C11" s="109">
        <v>2109.8200000000002</v>
      </c>
      <c r="D11" s="109">
        <v>948.30603027343705</v>
      </c>
      <c r="E11" s="109">
        <v>1408.3489999999999</v>
      </c>
      <c r="F11" s="188">
        <f t="shared" si="0"/>
        <v>774.66379672184223</v>
      </c>
      <c r="G11" s="189">
        <f t="shared" si="1"/>
        <v>2220.2353198800001</v>
      </c>
      <c r="H11" s="189">
        <f t="shared" si="2"/>
        <v>978.36733143310505</v>
      </c>
      <c r="I11" s="189">
        <f t="shared" si="3"/>
        <v>1408.3489999999999</v>
      </c>
      <c r="J11" s="190">
        <f t="shared" si="4"/>
        <v>186.60630963721388</v>
      </c>
      <c r="K11" s="191">
        <f t="shared" si="5"/>
        <v>-55.934070471143386</v>
      </c>
      <c r="L11" s="191">
        <f t="shared" si="6"/>
        <v>43.948898818714753</v>
      </c>
      <c r="M11" s="192">
        <f t="shared" si="11"/>
        <v>58.207045994928414</v>
      </c>
      <c r="N11" s="190">
        <f t="shared" si="9"/>
        <v>0.8568810156572928</v>
      </c>
      <c r="O11" s="190">
        <f t="shared" si="7"/>
        <v>1.082334359163668</v>
      </c>
      <c r="P11" s="190">
        <f t="shared" si="7"/>
        <v>0.6016109144920998</v>
      </c>
      <c r="Q11" s="190">
        <f t="shared" si="7"/>
        <v>0.78212691578639981</v>
      </c>
      <c r="R11" s="192">
        <f t="shared" si="10"/>
        <v>0.83073830127486514</v>
      </c>
      <c r="S11" s="101"/>
    </row>
    <row r="12" spans="1:20" s="102" customFormat="1">
      <c r="A12" s="111" t="s">
        <v>284</v>
      </c>
      <c r="B12" s="109">
        <v>2913.8989999999999</v>
      </c>
      <c r="C12" s="109">
        <v>7722.6450000000004</v>
      </c>
      <c r="D12" s="109">
        <v>5213.34716796875</v>
      </c>
      <c r="E12" s="109">
        <v>3456.0221210000004</v>
      </c>
      <c r="F12" s="188">
        <f t="shared" si="0"/>
        <v>3301.5874860194021</v>
      </c>
      <c r="G12" s="189">
        <f t="shared" si="1"/>
        <v>8126.8019034300014</v>
      </c>
      <c r="H12" s="189">
        <f t="shared" si="2"/>
        <v>5378.6102731933597</v>
      </c>
      <c r="I12" s="189">
        <f t="shared" si="3"/>
        <v>3456.0221210000004</v>
      </c>
      <c r="J12" s="190">
        <f t="shared" si="4"/>
        <v>146.1483131324857</v>
      </c>
      <c r="K12" s="191">
        <f t="shared" si="5"/>
        <v>-33.816397432755664</v>
      </c>
      <c r="L12" s="191">
        <f t="shared" si="6"/>
        <v>-35.745072696109112</v>
      </c>
      <c r="M12" s="192">
        <f t="shared" si="11"/>
        <v>25.528947667873638</v>
      </c>
      <c r="N12" s="190">
        <f t="shared" si="9"/>
        <v>3.6519941299354977</v>
      </c>
      <c r="O12" s="190">
        <f t="shared" si="7"/>
        <v>3.9617048028379216</v>
      </c>
      <c r="P12" s="190">
        <f t="shared" si="7"/>
        <v>3.3073780585177959</v>
      </c>
      <c r="Q12" s="190">
        <f t="shared" si="7"/>
        <v>1.9193026177370116</v>
      </c>
      <c r="R12" s="192">
        <f t="shared" si="10"/>
        <v>3.2100949022570568</v>
      </c>
      <c r="S12" s="101"/>
    </row>
    <row r="13" spans="1:20" s="102" customFormat="1">
      <c r="A13" s="108" t="s">
        <v>285</v>
      </c>
      <c r="B13" s="109">
        <v>550.26400000000001</v>
      </c>
      <c r="C13" s="109">
        <v>476.56299999999999</v>
      </c>
      <c r="D13" s="109">
        <v>255.74499511718699</v>
      </c>
      <c r="E13" s="109">
        <v>656.51345800000001</v>
      </c>
      <c r="F13" s="188">
        <f t="shared" si="0"/>
        <v>623.47553446669929</v>
      </c>
      <c r="G13" s="189">
        <f t="shared" si="1"/>
        <v>501.503448042</v>
      </c>
      <c r="H13" s="189">
        <f t="shared" si="2"/>
        <v>263.85211146240181</v>
      </c>
      <c r="I13" s="189">
        <f t="shared" si="3"/>
        <v>656.51345800000001</v>
      </c>
      <c r="J13" s="190">
        <f t="shared" si="4"/>
        <v>-19.563251431995688</v>
      </c>
      <c r="K13" s="191">
        <f t="shared" si="5"/>
        <v>-47.387777194244798</v>
      </c>
      <c r="L13" s="191">
        <f t="shared" si="6"/>
        <v>148.81872438362174</v>
      </c>
      <c r="M13" s="192">
        <f t="shared" si="11"/>
        <v>27.289231919127086</v>
      </c>
      <c r="N13" s="190">
        <f t="shared" si="9"/>
        <v>0.68964672348452261</v>
      </c>
      <c r="O13" s="190">
        <f t="shared" si="7"/>
        <v>0.24447607341200436</v>
      </c>
      <c r="P13" s="190">
        <f t="shared" si="7"/>
        <v>0.16224612675389649</v>
      </c>
      <c r="Q13" s="190">
        <f t="shared" si="7"/>
        <v>0.36459488811211155</v>
      </c>
      <c r="R13" s="192">
        <f t="shared" si="10"/>
        <v>0.36524095294063375</v>
      </c>
      <c r="S13" s="101"/>
      <c r="T13" s="102">
        <f>SUM(I13/I6)</f>
        <v>3.6459488811211157E-3</v>
      </c>
    </row>
    <row r="14" spans="1:20" s="102" customFormat="1">
      <c r="A14" s="108" t="s">
        <v>286</v>
      </c>
      <c r="B14" s="109">
        <v>894.53800000000001</v>
      </c>
      <c r="C14" s="109">
        <v>1693.1880000000001</v>
      </c>
      <c r="D14" s="109">
        <v>1327.50659179687</v>
      </c>
      <c r="E14" s="109">
        <v>1950.6772619999999</v>
      </c>
      <c r="F14" s="188">
        <f t="shared" si="0"/>
        <v>1013.5545077467765</v>
      </c>
      <c r="G14" s="189">
        <f t="shared" si="1"/>
        <v>1781.7993007920002</v>
      </c>
      <c r="H14" s="189">
        <f t="shared" si="2"/>
        <v>1369.588550756831</v>
      </c>
      <c r="I14" s="189">
        <f t="shared" si="3"/>
        <v>1950.6772619999999</v>
      </c>
      <c r="J14" s="190">
        <f t="shared" si="4"/>
        <v>75.797087100239096</v>
      </c>
      <c r="K14" s="191">
        <f t="shared" si="5"/>
        <v>-23.134521932517526</v>
      </c>
      <c r="L14" s="191">
        <f t="shared" si="6"/>
        <v>42.427976703080716</v>
      </c>
      <c r="M14" s="192">
        <f t="shared" si="11"/>
        <v>31.696847290267428</v>
      </c>
      <c r="N14" s="190">
        <f t="shared" si="9"/>
        <v>1.1211258609183916</v>
      </c>
      <c r="O14" s="190">
        <f t="shared" si="7"/>
        <v>0.86860279498896242</v>
      </c>
      <c r="P14" s="190">
        <f t="shared" si="7"/>
        <v>0.84217797756165591</v>
      </c>
      <c r="Q14" s="190">
        <f t="shared" si="7"/>
        <v>1.0833090310872655</v>
      </c>
      <c r="R14" s="192">
        <f t="shared" si="10"/>
        <v>0.97880391613906892</v>
      </c>
      <c r="S14" s="101"/>
    </row>
    <row r="15" spans="1:20" s="102" customFormat="1">
      <c r="A15" s="108" t="s">
        <v>287</v>
      </c>
      <c r="B15" s="109">
        <v>894.53800000000001</v>
      </c>
      <c r="C15" s="109">
        <v>1541.6880000000001</v>
      </c>
      <c r="D15" s="109">
        <v>1179.55102539062</v>
      </c>
      <c r="E15" s="109">
        <v>1870.1361219999999</v>
      </c>
      <c r="F15" s="188">
        <f t="shared" si="0"/>
        <v>1013.5545077467765</v>
      </c>
      <c r="G15" s="189">
        <f t="shared" si="1"/>
        <v>1622.3706997920003</v>
      </c>
      <c r="H15" s="189">
        <f t="shared" si="2"/>
        <v>1216.9427928955026</v>
      </c>
      <c r="I15" s="189">
        <f t="shared" si="3"/>
        <v>1870.1361219999999</v>
      </c>
      <c r="J15" s="190">
        <f t="shared" si="4"/>
        <v>60.06743469561173</v>
      </c>
      <c r="K15" s="191">
        <f t="shared" si="5"/>
        <v>-24.989843994869766</v>
      </c>
      <c r="L15" s="191">
        <f t="shared" si="6"/>
        <v>53.674941247676735</v>
      </c>
      <c r="M15" s="192">
        <f t="shared" si="11"/>
        <v>29.584177316139563</v>
      </c>
      <c r="N15" s="190">
        <f t="shared" si="9"/>
        <v>1.1211258609183916</v>
      </c>
      <c r="O15" s="190">
        <f t="shared" si="7"/>
        <v>0.79088353201235972</v>
      </c>
      <c r="P15" s="190">
        <f t="shared" si="7"/>
        <v>0.74831409737079091</v>
      </c>
      <c r="Q15" s="190">
        <f t="shared" si="7"/>
        <v>1.0385804919097457</v>
      </c>
      <c r="R15" s="192">
        <f t="shared" si="10"/>
        <v>0.92472599555282198</v>
      </c>
      <c r="S15" s="101"/>
    </row>
    <row r="16" spans="1:20" s="102" customFormat="1">
      <c r="A16" s="108" t="s">
        <v>288</v>
      </c>
      <c r="B16" s="109">
        <v>0</v>
      </c>
      <c r="C16" s="109">
        <v>151.5</v>
      </c>
      <c r="D16" s="109">
        <v>147.95561218261699</v>
      </c>
      <c r="E16" s="109">
        <v>80.541139999999999</v>
      </c>
      <c r="F16" s="188">
        <f t="shared" si="0"/>
        <v>0</v>
      </c>
      <c r="G16" s="189">
        <f t="shared" si="1"/>
        <v>159.42860100000001</v>
      </c>
      <c r="H16" s="189">
        <f t="shared" si="2"/>
        <v>152.64580508880596</v>
      </c>
      <c r="I16" s="189">
        <f t="shared" si="3"/>
        <v>80.541139999999999</v>
      </c>
      <c r="J16" s="190">
        <f t="shared" si="4"/>
        <v>0</v>
      </c>
      <c r="K16" s="191">
        <f t="shared" si="5"/>
        <v>-4.2544410906510173</v>
      </c>
      <c r="L16" s="191">
        <f t="shared" si="6"/>
        <v>-47.236584750466648</v>
      </c>
      <c r="M16" s="192">
        <f t="shared" si="11"/>
        <v>-17.163675280372555</v>
      </c>
      <c r="N16" s="190">
        <f t="shared" si="9"/>
        <v>0</v>
      </c>
      <c r="O16" s="190">
        <f t="shared" si="7"/>
        <v>7.7719262976602588E-2</v>
      </c>
      <c r="P16" s="190">
        <f t="shared" si="7"/>
        <v>9.3863909231661005E-2</v>
      </c>
      <c r="Q16" s="190">
        <f t="shared" si="7"/>
        <v>4.4728539177519663E-2</v>
      </c>
      <c r="R16" s="192">
        <f t="shared" si="10"/>
        <v>5.4077927846445814E-2</v>
      </c>
      <c r="S16" s="101"/>
    </row>
    <row r="17" spans="1:20" s="102" customFormat="1">
      <c r="A17" s="24" t="s">
        <v>289</v>
      </c>
      <c r="B17" s="141">
        <v>146301.52063899999</v>
      </c>
      <c r="C17" s="141">
        <v>205556.45260299998</v>
      </c>
      <c r="D17" s="141">
        <v>189618.453125</v>
      </c>
      <c r="E17" s="141">
        <v>162324.27109199998</v>
      </c>
      <c r="F17" s="181">
        <f t="shared" si="0"/>
        <v>165766.64796114474</v>
      </c>
      <c r="G17" s="181">
        <f t="shared" si="1"/>
        <v>216314.04399352541</v>
      </c>
      <c r="H17" s="181">
        <f t="shared" si="2"/>
        <v>195629.3580890625</v>
      </c>
      <c r="I17" s="181">
        <f t="shared" si="3"/>
        <v>162324.27109199998</v>
      </c>
      <c r="J17" s="186">
        <f t="shared" si="4"/>
        <v>30.493103802297327</v>
      </c>
      <c r="K17" s="186">
        <f t="shared" si="5"/>
        <v>-9.5623407165750347</v>
      </c>
      <c r="L17" s="186">
        <f t="shared" si="6"/>
        <v>-17.024585329314423</v>
      </c>
      <c r="M17" s="186">
        <f t="shared" si="11"/>
        <v>1.3020592521359557</v>
      </c>
      <c r="N17" s="186">
        <f>IFERROR((B17/B$17*100),0)</f>
        <v>100</v>
      </c>
      <c r="O17" s="186">
        <f t="shared" ref="O17:Q23" si="12">IFERROR((C17/C$17*100),0)</f>
        <v>100</v>
      </c>
      <c r="P17" s="186">
        <f t="shared" si="12"/>
        <v>100</v>
      </c>
      <c r="Q17" s="186">
        <f t="shared" si="12"/>
        <v>100</v>
      </c>
      <c r="R17" s="186">
        <f t="shared" si="10"/>
        <v>100</v>
      </c>
      <c r="S17" s="101"/>
    </row>
    <row r="18" spans="1:20" s="102" customFormat="1">
      <c r="A18" s="7" t="s">
        <v>290</v>
      </c>
      <c r="B18" s="142">
        <v>7905.0068119999996</v>
      </c>
      <c r="C18" s="142">
        <v>8515.3198080000002</v>
      </c>
      <c r="D18" s="142">
        <v>10543.65625</v>
      </c>
      <c r="E18" s="142">
        <v>13872.551889999999</v>
      </c>
      <c r="F18" s="182">
        <f t="shared" si="0"/>
        <v>8956.7522990320977</v>
      </c>
      <c r="G18" s="182">
        <f t="shared" si="1"/>
        <v>8960.9605548318723</v>
      </c>
      <c r="H18" s="182">
        <f t="shared" si="2"/>
        <v>10877.890153125001</v>
      </c>
      <c r="I18" s="182">
        <f t="shared" si="3"/>
        <v>13872.551889999999</v>
      </c>
      <c r="J18" s="187">
        <f t="shared" si="4"/>
        <v>4.6984170816344317E-2</v>
      </c>
      <c r="K18" s="187">
        <f t="shared" si="5"/>
        <v>21.392010226621228</v>
      </c>
      <c r="L18" s="187">
        <f t="shared" si="6"/>
        <v>27.529803065851798</v>
      </c>
      <c r="M18" s="187">
        <f t="shared" si="11"/>
        <v>16.322932487763122</v>
      </c>
      <c r="N18" s="187">
        <f t="shared" ref="N18:N23" si="13">IFERROR((B18/B$17*100),0)</f>
        <v>5.4032294247341817</v>
      </c>
      <c r="O18" s="187">
        <f t="shared" si="12"/>
        <v>4.1425699364670416</v>
      </c>
      <c r="P18" s="187">
        <f t="shared" si="12"/>
        <v>5.5604589512442795</v>
      </c>
      <c r="Q18" s="187">
        <f t="shared" si="12"/>
        <v>8.5461969406518996</v>
      </c>
      <c r="R18" s="187">
        <f t="shared" si="10"/>
        <v>5.9131138132743502</v>
      </c>
      <c r="S18" s="110"/>
    </row>
    <row r="19" spans="1:20" s="102" customFormat="1">
      <c r="A19" s="108" t="s">
        <v>291</v>
      </c>
      <c r="B19" s="109">
        <v>7905.0068119999996</v>
      </c>
      <c r="C19" s="109">
        <v>8515.3198080000002</v>
      </c>
      <c r="D19" s="109">
        <v>10217.9716796875</v>
      </c>
      <c r="E19" s="109">
        <v>13134.718273999999</v>
      </c>
      <c r="F19" s="188">
        <f t="shared" si="0"/>
        <v>8956.7522990320977</v>
      </c>
      <c r="G19" s="189">
        <f t="shared" si="1"/>
        <v>8960.9605548318723</v>
      </c>
      <c r="H19" s="189">
        <f t="shared" si="2"/>
        <v>10541.881381933594</v>
      </c>
      <c r="I19" s="189">
        <f t="shared" si="3"/>
        <v>13134.718273999999</v>
      </c>
      <c r="J19" s="190">
        <f t="shared" si="4"/>
        <v>4.6984170816344317E-2</v>
      </c>
      <c r="K19" s="191">
        <f t="shared" si="5"/>
        <v>17.642314319186102</v>
      </c>
      <c r="L19" s="191">
        <f t="shared" si="6"/>
        <v>24.595580220717927</v>
      </c>
      <c r="M19" s="192">
        <f t="shared" si="11"/>
        <v>14.094959570240126</v>
      </c>
      <c r="N19" s="190">
        <f t="shared" si="13"/>
        <v>5.4032294247341817</v>
      </c>
      <c r="O19" s="190">
        <f t="shared" si="12"/>
        <v>4.1425699364670416</v>
      </c>
      <c r="P19" s="190">
        <f t="shared" si="12"/>
        <v>5.3887011054518119</v>
      </c>
      <c r="Q19" s="190">
        <f t="shared" si="12"/>
        <v>8.0916539379102961</v>
      </c>
      <c r="R19" s="192">
        <f t="shared" si="10"/>
        <v>5.7565386011408322</v>
      </c>
      <c r="S19" s="101"/>
    </row>
    <row r="20" spans="1:20" s="102" customFormat="1">
      <c r="A20" s="108" t="s">
        <v>292</v>
      </c>
      <c r="B20" s="109">
        <v>4007.752</v>
      </c>
      <c r="C20" s="109">
        <v>4927.7889999999998</v>
      </c>
      <c r="D20" s="109">
        <v>6293.5859375</v>
      </c>
      <c r="E20" s="109">
        <v>9476.7493119999981</v>
      </c>
      <c r="F20" s="188">
        <f t="shared" si="0"/>
        <v>4540.9754594339856</v>
      </c>
      <c r="G20" s="189">
        <f t="shared" si="1"/>
        <v>5185.6799095260003</v>
      </c>
      <c r="H20" s="189">
        <f t="shared" si="2"/>
        <v>6493.09261171875</v>
      </c>
      <c r="I20" s="189">
        <f t="shared" si="3"/>
        <v>9476.7493119999981</v>
      </c>
      <c r="J20" s="190">
        <f t="shared" si="4"/>
        <v>14.197488091520638</v>
      </c>
      <c r="K20" s="191">
        <f t="shared" si="5"/>
        <v>25.211982324459647</v>
      </c>
      <c r="L20" s="191">
        <f t="shared" si="6"/>
        <v>45.951242015189145</v>
      </c>
      <c r="M20" s="192">
        <f t="shared" si="11"/>
        <v>28.45357081038981</v>
      </c>
      <c r="N20" s="190">
        <f t="shared" si="13"/>
        <v>2.7393782255272354</v>
      </c>
      <c r="O20" s="190">
        <f t="shared" si="12"/>
        <v>2.3972922949381941</v>
      </c>
      <c r="P20" s="190">
        <f t="shared" si="12"/>
        <v>3.3190788310835719</v>
      </c>
      <c r="Q20" s="190">
        <f t="shared" si="12"/>
        <v>5.8381591663694534</v>
      </c>
      <c r="R20" s="192">
        <f t="shared" si="10"/>
        <v>3.5734771294796142</v>
      </c>
      <c r="S20" s="112"/>
    </row>
    <row r="21" spans="1:20" s="102" customFormat="1">
      <c r="A21" s="108" t="s">
        <v>293</v>
      </c>
      <c r="B21" s="109">
        <v>747.68881199999998</v>
      </c>
      <c r="C21" s="109">
        <v>1010.259808</v>
      </c>
      <c r="D21" s="109">
        <v>1077.93896484375</v>
      </c>
      <c r="E21" s="109">
        <v>1131.5519670000003</v>
      </c>
      <c r="F21" s="188">
        <f t="shared" si="0"/>
        <v>847.16732636783684</v>
      </c>
      <c r="G21" s="189">
        <f t="shared" si="1"/>
        <v>1063.1307447918721</v>
      </c>
      <c r="H21" s="189">
        <f t="shared" si="2"/>
        <v>1112.109630029297</v>
      </c>
      <c r="I21" s="189">
        <f t="shared" si="3"/>
        <v>1131.5519670000003</v>
      </c>
      <c r="J21" s="190">
        <f t="shared" si="4"/>
        <v>25.492415925666222</v>
      </c>
      <c r="K21" s="191">
        <f t="shared" si="5"/>
        <v>4.6070424994635539</v>
      </c>
      <c r="L21" s="191">
        <f t="shared" si="6"/>
        <v>1.7482392424019499</v>
      </c>
      <c r="M21" s="192">
        <f t="shared" si="11"/>
        <v>10.615899222510576</v>
      </c>
      <c r="N21" s="190">
        <f t="shared" si="13"/>
        <v>0.51106017814054527</v>
      </c>
      <c r="O21" s="190">
        <f t="shared" si="12"/>
        <v>0.49147559962574278</v>
      </c>
      <c r="P21" s="190">
        <f t="shared" si="12"/>
        <v>0.56847788128149779</v>
      </c>
      <c r="Q21" s="190">
        <f t="shared" si="12"/>
        <v>0.6970935149671329</v>
      </c>
      <c r="R21" s="192">
        <f t="shared" si="10"/>
        <v>0.56702679350372964</v>
      </c>
      <c r="S21" s="101"/>
    </row>
    <row r="22" spans="1:20" s="102" customFormat="1">
      <c r="A22" s="108" t="s">
        <v>294</v>
      </c>
      <c r="B22" s="109">
        <v>3149.5659999999998</v>
      </c>
      <c r="C22" s="109">
        <v>2577.2710000000002</v>
      </c>
      <c r="D22" s="109">
        <v>2846.44702148437</v>
      </c>
      <c r="E22" s="109">
        <v>2526.416995</v>
      </c>
      <c r="F22" s="188">
        <f t="shared" si="0"/>
        <v>3568.6095132302748</v>
      </c>
      <c r="G22" s="189">
        <f t="shared" si="1"/>
        <v>2712.1499005140004</v>
      </c>
      <c r="H22" s="189">
        <f t="shared" si="2"/>
        <v>2936.6793920654245</v>
      </c>
      <c r="I22" s="189">
        <f t="shared" si="3"/>
        <v>2526.416995</v>
      </c>
      <c r="J22" s="190">
        <f t="shared" si="4"/>
        <v>-23.999813079605183</v>
      </c>
      <c r="K22" s="191">
        <f t="shared" si="5"/>
        <v>8.278653458972606</v>
      </c>
      <c r="L22" s="191">
        <f t="shared" si="6"/>
        <v>-13.970282155209279</v>
      </c>
      <c r="M22" s="192">
        <f t="shared" si="11"/>
        <v>-9.8971472586139519</v>
      </c>
      <c r="N22" s="190">
        <f t="shared" si="13"/>
        <v>2.1527910210664012</v>
      </c>
      <c r="O22" s="190">
        <f t="shared" si="12"/>
        <v>1.2538020419031042</v>
      </c>
      <c r="P22" s="190">
        <f t="shared" si="12"/>
        <v>1.5011445218403607</v>
      </c>
      <c r="Q22" s="190">
        <f t="shared" si="12"/>
        <v>1.556401256573708</v>
      </c>
      <c r="R22" s="192">
        <f t="shared" si="10"/>
        <v>1.6160347103458934</v>
      </c>
      <c r="S22" s="101"/>
    </row>
    <row r="23" spans="1:20" s="102" customFormat="1">
      <c r="A23" s="108" t="s">
        <v>295</v>
      </c>
      <c r="B23" s="109">
        <v>0</v>
      </c>
      <c r="C23" s="109">
        <v>0</v>
      </c>
      <c r="D23" s="109">
        <v>325.683990478515</v>
      </c>
      <c r="E23" s="109">
        <v>737.83361599999989</v>
      </c>
      <c r="F23" s="188">
        <f t="shared" si="0"/>
        <v>0</v>
      </c>
      <c r="G23" s="189">
        <f t="shared" si="1"/>
        <v>0</v>
      </c>
      <c r="H23" s="189">
        <f t="shared" si="2"/>
        <v>336.00817297668397</v>
      </c>
      <c r="I23" s="189">
        <f t="shared" si="3"/>
        <v>737.83361599999989</v>
      </c>
      <c r="J23" s="190">
        <f t="shared" si="4"/>
        <v>0</v>
      </c>
      <c r="K23" s="191">
        <f t="shared" si="5"/>
        <v>0</v>
      </c>
      <c r="L23" s="191">
        <f t="shared" si="6"/>
        <v>119.58799676316181</v>
      </c>
      <c r="M23" s="192">
        <f t="shared" si="11"/>
        <v>39.862665587720606</v>
      </c>
      <c r="N23" s="190">
        <f t="shared" si="13"/>
        <v>0</v>
      </c>
      <c r="O23" s="190">
        <f t="shared" si="12"/>
        <v>0</v>
      </c>
      <c r="P23" s="190">
        <f t="shared" si="12"/>
        <v>0.17175754000261675</v>
      </c>
      <c r="Q23" s="190">
        <f t="shared" si="12"/>
        <v>0.45454300274160508</v>
      </c>
      <c r="R23" s="192">
        <f t="shared" si="10"/>
        <v>0.15657513568605547</v>
      </c>
      <c r="S23" s="110"/>
    </row>
    <row r="24" spans="1:20" s="102" customFormat="1">
      <c r="A24" s="113" t="s">
        <v>296</v>
      </c>
      <c r="B24" s="114">
        <v>15492.007188000003</v>
      </c>
      <c r="C24" s="114">
        <v>13358.365191999997</v>
      </c>
      <c r="D24" s="114">
        <v>9488.3212890625</v>
      </c>
      <c r="E24" s="114">
        <v>5477.4378760000072</v>
      </c>
      <c r="F24" s="183">
        <f t="shared" si="0"/>
        <v>17553.188036106756</v>
      </c>
      <c r="G24" s="184">
        <f t="shared" si="1"/>
        <v>14057.461875958126</v>
      </c>
      <c r="H24" s="184">
        <f t="shared" si="2"/>
        <v>9789.1010739257817</v>
      </c>
      <c r="I24" s="184">
        <f t="shared" si="3"/>
        <v>5477.4378760000072</v>
      </c>
      <c r="J24" s="193">
        <f t="shared" si="4"/>
        <v>-19.915049921176433</v>
      </c>
      <c r="K24" s="194">
        <f t="shared" si="5"/>
        <v>-30.363666212976458</v>
      </c>
      <c r="L24" s="194">
        <f t="shared" si="6"/>
        <v>-44.045547853319313</v>
      </c>
      <c r="M24" s="195">
        <f t="shared" si="11"/>
        <v>-31.441421329157397</v>
      </c>
      <c r="N24" s="190">
        <f t="shared" ref="N24" si="14">IFERROR((B24/B$6*100),0)</f>
        <v>19.416156603744518</v>
      </c>
      <c r="O24" s="190">
        <f t="shared" ref="O24:O29" si="15">IFERROR((C24/C$6*100),0)</f>
        <v>6.8528204441883966</v>
      </c>
      <c r="P24" s="190">
        <f t="shared" ref="P24:P29" si="16">IFERROR((D24/D$6*100),0)</f>
        <v>6.0194467455424814</v>
      </c>
      <c r="Q24" s="190">
        <f t="shared" ref="Q24:Q29" si="17">IFERROR((E24/E$6*100),0)</f>
        <v>3.0418962859117271</v>
      </c>
      <c r="R24" s="195">
        <f t="shared" si="10"/>
        <v>8.8325800198467803</v>
      </c>
      <c r="S24" s="101"/>
    </row>
    <row r="25" spans="1:20" s="102" customFormat="1">
      <c r="A25" s="7" t="s">
        <v>297</v>
      </c>
      <c r="B25" s="142">
        <v>56392.243494000009</v>
      </c>
      <c r="C25" s="142">
        <v>173058.68337000001</v>
      </c>
      <c r="D25" s="142">
        <v>137595.828125</v>
      </c>
      <c r="E25" s="142">
        <v>160716.566131</v>
      </c>
      <c r="F25" s="182">
        <f t="shared" si="0"/>
        <v>63895.119710171661</v>
      </c>
      <c r="G25" s="182">
        <f t="shared" si="1"/>
        <v>182115.53650548562</v>
      </c>
      <c r="H25" s="182">
        <f t="shared" si="2"/>
        <v>141957.61587656252</v>
      </c>
      <c r="I25" s="182">
        <f t="shared" si="3"/>
        <v>160716.566131</v>
      </c>
      <c r="J25" s="187">
        <f t="shared" si="4"/>
        <v>185.02260787922759</v>
      </c>
      <c r="K25" s="187">
        <f t="shared" si="5"/>
        <v>-22.050793358705821</v>
      </c>
      <c r="L25" s="187">
        <f t="shared" si="6"/>
        <v>13.214472600574734</v>
      </c>
      <c r="M25" s="187">
        <f t="shared" si="11"/>
        <v>58.728762373698835</v>
      </c>
      <c r="N25" s="187">
        <f t="shared" ref="N25:N29" si="18">IFERROR((B25/B$6*100),0)</f>
        <v>70.676486114989331</v>
      </c>
      <c r="O25" s="187">
        <f t="shared" si="15"/>
        <v>88.778833816618047</v>
      </c>
      <c r="P25" s="187">
        <f t="shared" si="16"/>
        <v>87.291601388119702</v>
      </c>
      <c r="Q25" s="187">
        <f t="shared" si="17"/>
        <v>89.253979080341594</v>
      </c>
      <c r="R25" s="187">
        <f t="shared" si="10"/>
        <v>84.000225100017175</v>
      </c>
      <c r="S25" s="101"/>
    </row>
    <row r="26" spans="1:20" s="102" customFormat="1">
      <c r="A26" s="108" t="s">
        <v>298</v>
      </c>
      <c r="B26" s="109">
        <v>20503.342494</v>
      </c>
      <c r="C26" s="109">
        <v>67105.36537</v>
      </c>
      <c r="D26" s="109">
        <v>24578.232421875</v>
      </c>
      <c r="E26" s="109">
        <v>33681.211189000001</v>
      </c>
      <c r="F26" s="188">
        <f t="shared" si="0"/>
        <v>23231.27157110121</v>
      </c>
      <c r="G26" s="189">
        <f t="shared" si="1"/>
        <v>70617.257561273582</v>
      </c>
      <c r="H26" s="189">
        <f t="shared" si="2"/>
        <v>25357.362389648439</v>
      </c>
      <c r="I26" s="189">
        <f t="shared" si="3"/>
        <v>33681.211189000001</v>
      </c>
      <c r="J26" s="190">
        <f t="shared" si="4"/>
        <v>203.97499915208547</v>
      </c>
      <c r="K26" s="191">
        <f t="shared" si="5"/>
        <v>-64.091833546996327</v>
      </c>
      <c r="L26" s="191">
        <f t="shared" si="6"/>
        <v>32.826161772841104</v>
      </c>
      <c r="M26" s="192">
        <f t="shared" si="11"/>
        <v>57.569775792643419</v>
      </c>
      <c r="N26" s="190">
        <f t="shared" si="18"/>
        <v>25.696870904635009</v>
      </c>
      <c r="O26" s="190">
        <f t="shared" si="15"/>
        <v>34.424947447736173</v>
      </c>
      <c r="P26" s="190">
        <f t="shared" si="16"/>
        <v>15.592574983056902</v>
      </c>
      <c r="Q26" s="190">
        <f t="shared" si="17"/>
        <v>18.70486777581619</v>
      </c>
      <c r="R26" s="192">
        <f t="shared" si="10"/>
        <v>23.60481527781107</v>
      </c>
      <c r="S26" s="115"/>
    </row>
    <row r="27" spans="1:20" s="102" customFormat="1">
      <c r="A27" s="108" t="s">
        <v>299</v>
      </c>
      <c r="B27" s="109">
        <v>29638.953000000001</v>
      </c>
      <c r="C27" s="109">
        <v>95816.084000000003</v>
      </c>
      <c r="D27" s="109">
        <v>106862.2734375</v>
      </c>
      <c r="E27" s="109">
        <v>118684.025009</v>
      </c>
      <c r="F27" s="188">
        <f t="shared" si="0"/>
        <v>33582.356946317363</v>
      </c>
      <c r="G27" s="189">
        <f t="shared" si="1"/>
        <v>100830.52294005601</v>
      </c>
      <c r="H27" s="189">
        <f t="shared" si="2"/>
        <v>110249.80750546875</v>
      </c>
      <c r="I27" s="189">
        <f t="shared" si="3"/>
        <v>118684.025009</v>
      </c>
      <c r="J27" s="190">
        <f t="shared" si="4"/>
        <v>200.2484998335207</v>
      </c>
      <c r="K27" s="191">
        <f t="shared" si="5"/>
        <v>9.341699607183962</v>
      </c>
      <c r="L27" s="191">
        <f t="shared" si="6"/>
        <v>7.6500972603629203</v>
      </c>
      <c r="M27" s="192">
        <f t="shared" si="11"/>
        <v>72.413432233689193</v>
      </c>
      <c r="N27" s="190">
        <f t="shared" si="18"/>
        <v>37.14654570163006</v>
      </c>
      <c r="O27" s="190">
        <f t="shared" si="15"/>
        <v>49.153501186694683</v>
      </c>
      <c r="P27" s="190">
        <f t="shared" si="16"/>
        <v>67.794053812883377</v>
      </c>
      <c r="Q27" s="190">
        <f t="shared" si="17"/>
        <v>65.911198455358104</v>
      </c>
      <c r="R27" s="192">
        <f t="shared" si="10"/>
        <v>55.001324789141549</v>
      </c>
      <c r="S27" s="101"/>
      <c r="T27" s="102">
        <f>SUM(E27/E6)</f>
        <v>0.659111984553581</v>
      </c>
    </row>
    <row r="28" spans="1:20" s="102" customFormat="1">
      <c r="A28" s="108" t="s">
        <v>300</v>
      </c>
      <c r="B28" s="109">
        <v>2534.2330000000002</v>
      </c>
      <c r="C28" s="109">
        <v>7345.7269999999999</v>
      </c>
      <c r="D28" s="109">
        <v>4591.56201171875</v>
      </c>
      <c r="E28" s="109">
        <v>759.50919799999997</v>
      </c>
      <c r="F28" s="188">
        <f t="shared" si="0"/>
        <v>2871.4076772933477</v>
      </c>
      <c r="G28" s="189">
        <f t="shared" si="1"/>
        <v>7730.1582768180006</v>
      </c>
      <c r="H28" s="189">
        <f t="shared" si="2"/>
        <v>4737.1145274902347</v>
      </c>
      <c r="I28" s="189">
        <f t="shared" si="3"/>
        <v>759.50919799999997</v>
      </c>
      <c r="J28" s="190">
        <f t="shared" si="4"/>
        <v>169.21145116198261</v>
      </c>
      <c r="K28" s="191">
        <f t="shared" si="5"/>
        <v>-38.719048719915804</v>
      </c>
      <c r="L28" s="191">
        <f t="shared" si="6"/>
        <v>-83.966839019988939</v>
      </c>
      <c r="M28" s="192">
        <f t="shared" si="11"/>
        <v>15.508521140692622</v>
      </c>
      <c r="N28" s="190">
        <f t="shared" si="18"/>
        <v>3.1761581440842068</v>
      </c>
      <c r="O28" s="190">
        <f t="shared" si="15"/>
        <v>3.7683464585302313</v>
      </c>
      <c r="P28" s="190">
        <f t="shared" si="16"/>
        <v>2.9129139039860417</v>
      </c>
      <c r="Q28" s="190">
        <f t="shared" si="17"/>
        <v>0.42179359416106532</v>
      </c>
      <c r="R28" s="192">
        <f t="shared" si="10"/>
        <v>2.5698030251903861</v>
      </c>
      <c r="S28" s="101"/>
    </row>
    <row r="29" spans="1:20" s="102" customFormat="1">
      <c r="A29" s="108" t="s">
        <v>301</v>
      </c>
      <c r="B29" s="109">
        <v>3715.7150000000001</v>
      </c>
      <c r="C29" s="109">
        <v>2791.5070000000001</v>
      </c>
      <c r="D29" s="109">
        <v>1563.76293945312</v>
      </c>
      <c r="E29" s="109">
        <v>7591.8207349999993</v>
      </c>
      <c r="F29" s="188">
        <f t="shared" si="0"/>
        <v>4210.0835154597271</v>
      </c>
      <c r="G29" s="189">
        <f t="shared" si="1"/>
        <v>2937.5977273380004</v>
      </c>
      <c r="H29" s="189">
        <f t="shared" si="2"/>
        <v>1613.3342246337841</v>
      </c>
      <c r="I29" s="189">
        <f t="shared" si="3"/>
        <v>7591.8207349999993</v>
      </c>
      <c r="J29" s="190">
        <f t="shared" si="4"/>
        <v>-30.224716052521718</v>
      </c>
      <c r="K29" s="191">
        <f t="shared" si="5"/>
        <v>-45.079810975488485</v>
      </c>
      <c r="L29" s="191">
        <f t="shared" si="6"/>
        <v>370.56714096072011</v>
      </c>
      <c r="M29" s="192">
        <f t="shared" si="11"/>
        <v>98.420871310903294</v>
      </c>
      <c r="N29" s="190">
        <f t="shared" si="18"/>
        <v>4.6569113646400506</v>
      </c>
      <c r="O29" s="190">
        <f t="shared" si="15"/>
        <v>1.4320387236569438</v>
      </c>
      <c r="P29" s="190">
        <f t="shared" si="16"/>
        <v>0.99206039192008477</v>
      </c>
      <c r="Q29" s="190">
        <f t="shared" si="17"/>
        <v>4.2161192550062436</v>
      </c>
      <c r="R29" s="192">
        <f t="shared" si="10"/>
        <v>2.8242824338058305</v>
      </c>
      <c r="S29" s="101"/>
    </row>
    <row r="30" spans="1:20" s="102" customFormat="1">
      <c r="A30" s="7" t="s">
        <v>302</v>
      </c>
      <c r="B30" s="142">
        <v>138396.51382699999</v>
      </c>
      <c r="C30" s="142">
        <v>197041.13279499998</v>
      </c>
      <c r="D30" s="142">
        <v>179074.796875</v>
      </c>
      <c r="E30" s="142">
        <v>148451.71920199998</v>
      </c>
      <c r="F30" s="182">
        <f t="shared" si="0"/>
        <v>156809.89566211263</v>
      </c>
      <c r="G30" s="182">
        <f t="shared" si="1"/>
        <v>207353.08343869352</v>
      </c>
      <c r="H30" s="182">
        <f t="shared" si="2"/>
        <v>184751.46793593751</v>
      </c>
      <c r="I30" s="182">
        <f t="shared" si="3"/>
        <v>148451.71920199998</v>
      </c>
      <c r="J30" s="187">
        <f t="shared" si="4"/>
        <v>32.232141704557485</v>
      </c>
      <c r="K30" s="187">
        <f t="shared" si="5"/>
        <v>-10.900062409459387</v>
      </c>
      <c r="L30" s="187">
        <f t="shared" si="6"/>
        <v>-19.647881091004081</v>
      </c>
      <c r="M30" s="187">
        <f t="shared" si="11"/>
        <v>0.56139940136467226</v>
      </c>
      <c r="N30" s="187">
        <f t="shared" ref="N30:N32" si="19">IFERROR((B30/B$17*100),0)</f>
        <v>94.596770575265808</v>
      </c>
      <c r="O30" s="187">
        <f t="shared" ref="O30:O32" si="20">IFERROR((C30/C$17*100),0)</f>
        <v>95.857430063532959</v>
      </c>
      <c r="P30" s="187">
        <f t="shared" ref="P30:P32" si="21">IFERROR((D30/D$17*100),0)</f>
        <v>94.439541048755729</v>
      </c>
      <c r="Q30" s="187">
        <f t="shared" ref="Q30:Q32" si="22">IFERROR((E30/E$17*100),0)</f>
        <v>91.45380305934809</v>
      </c>
      <c r="R30" s="187">
        <f t="shared" si="10"/>
        <v>94.08688618672565</v>
      </c>
      <c r="S30" s="101"/>
    </row>
    <row r="31" spans="1:20" s="102" customFormat="1">
      <c r="A31" s="116" t="s">
        <v>303</v>
      </c>
      <c r="B31" s="109">
        <v>92440.479827000003</v>
      </c>
      <c r="C31" s="109">
        <v>110107.46079499999</v>
      </c>
      <c r="D31" s="109">
        <v>51944.65625</v>
      </c>
      <c r="E31" s="109">
        <v>30322.998197000001</v>
      </c>
      <c r="F31" s="188">
        <f t="shared" si="0"/>
        <v>104739.50243246324</v>
      </c>
      <c r="G31" s="189">
        <f t="shared" si="1"/>
        <v>115869.82464824553</v>
      </c>
      <c r="H31" s="189">
        <f t="shared" si="2"/>
        <v>53591.301853125005</v>
      </c>
      <c r="I31" s="189">
        <f t="shared" si="3"/>
        <v>30322.998197000001</v>
      </c>
      <c r="J31" s="190">
        <f t="shared" si="4"/>
        <v>10.626670890440026</v>
      </c>
      <c r="K31" s="191">
        <f t="shared" si="5"/>
        <v>-53.748698579793299</v>
      </c>
      <c r="L31" s="191">
        <f t="shared" si="6"/>
        <v>-43.418060117097504</v>
      </c>
      <c r="M31" s="192">
        <f t="shared" si="11"/>
        <v>-28.846695935483591</v>
      </c>
      <c r="N31" s="190">
        <f t="shared" si="19"/>
        <v>63.184907048982438</v>
      </c>
      <c r="O31" s="190">
        <f t="shared" si="20"/>
        <v>53.565557977231329</v>
      </c>
      <c r="P31" s="190">
        <f t="shared" si="21"/>
        <v>27.394304401247865</v>
      </c>
      <c r="Q31" s="190">
        <f t="shared" si="22"/>
        <v>18.680507845813111</v>
      </c>
      <c r="R31" s="192">
        <f t="shared" si="10"/>
        <v>40.706319318318684</v>
      </c>
      <c r="S31" s="101"/>
    </row>
    <row r="32" spans="1:20" s="102" customFormat="1">
      <c r="A32" s="116" t="s">
        <v>304</v>
      </c>
      <c r="B32" s="109">
        <v>45956.034</v>
      </c>
      <c r="C32" s="109">
        <v>86933.672000000006</v>
      </c>
      <c r="D32" s="109">
        <v>127130.1484375</v>
      </c>
      <c r="E32" s="109">
        <v>118128.72100499998</v>
      </c>
      <c r="F32" s="188">
        <f t="shared" si="0"/>
        <v>52070.393229649409</v>
      </c>
      <c r="G32" s="189">
        <f t="shared" si="1"/>
        <v>91483.258790448017</v>
      </c>
      <c r="H32" s="189">
        <f t="shared" si="2"/>
        <v>131160.17414296875</v>
      </c>
      <c r="I32" s="189">
        <f t="shared" si="3"/>
        <v>118128.72100499998</v>
      </c>
      <c r="J32" s="190">
        <f t="shared" si="4"/>
        <v>75.691507431053012</v>
      </c>
      <c r="K32" s="191">
        <f t="shared" si="5"/>
        <v>43.370684294713271</v>
      </c>
      <c r="L32" s="191">
        <f t="shared" si="6"/>
        <v>-9.9355259499458004</v>
      </c>
      <c r="M32" s="192">
        <f t="shared" si="11"/>
        <v>36.37555525860683</v>
      </c>
      <c r="N32" s="190">
        <f t="shared" si="19"/>
        <v>31.411863526283383</v>
      </c>
      <c r="O32" s="190">
        <f t="shared" si="20"/>
        <v>42.291872086301638</v>
      </c>
      <c r="P32" s="190">
        <f t="shared" si="21"/>
        <v>67.045240767623739</v>
      </c>
      <c r="Q32" s="190">
        <f t="shared" si="22"/>
        <v>72.773295213534993</v>
      </c>
      <c r="R32" s="192">
        <f t="shared" si="10"/>
        <v>53.380567898435942</v>
      </c>
      <c r="S32" s="101"/>
    </row>
    <row r="33" spans="1:19" s="102" customFormat="1">
      <c r="A33" s="24" t="s">
        <v>305</v>
      </c>
      <c r="B33" s="141">
        <v>-66512.263144999975</v>
      </c>
      <c r="C33" s="141">
        <v>-10624.084232999972</v>
      </c>
      <c r="D33" s="141">
        <v>-31990.654296875</v>
      </c>
      <c r="E33" s="141">
        <v>17742.284805000032</v>
      </c>
      <c r="F33" s="181">
        <f t="shared" si="0"/>
        <v>-75361.587915834214</v>
      </c>
      <c r="G33" s="181">
        <f t="shared" si="1"/>
        <v>-11180.085057249793</v>
      </c>
      <c r="H33" s="181">
        <f t="shared" si="2"/>
        <v>-33004.758038085936</v>
      </c>
      <c r="I33" s="181">
        <f t="shared" si="3"/>
        <v>17742.284805000032</v>
      </c>
      <c r="J33" s="186">
        <f t="shared" si="4"/>
        <v>-85.164743251248893</v>
      </c>
      <c r="K33" s="186">
        <f t="shared" si="5"/>
        <v>195.2102588583063</v>
      </c>
      <c r="L33" s="186">
        <f t="shared" si="6"/>
        <v>-153.75674860129641</v>
      </c>
      <c r="M33" s="186">
        <f t="shared" si="11"/>
        <v>-14.570410998079666</v>
      </c>
      <c r="N33" s="186">
        <f t="shared" ref="N33:N39" si="23">IFERROR((B33/B$6*100),0)</f>
        <v>-83.359922418129472</v>
      </c>
      <c r="O33" s="186">
        <f t="shared" ref="O33:O39" si="24">IFERROR((C33/C$6*100),0)</f>
        <v>-5.450138590033677</v>
      </c>
      <c r="P33" s="186">
        <f t="shared" ref="P33:P39" si="25">IFERROR((D33/D$6*100),0)</f>
        <v>-20.295058949687551</v>
      </c>
      <c r="Q33" s="186">
        <f t="shared" ref="Q33:Q39" si="26">IFERROR((E33/E$6*100),0)</f>
        <v>9.8531816286577989</v>
      </c>
      <c r="R33" s="186">
        <f t="shared" si="10"/>
        <v>-24.812984582298224</v>
      </c>
      <c r="S33" s="101"/>
    </row>
    <row r="34" spans="1:19" s="102" customFormat="1">
      <c r="A34" s="108" t="s">
        <v>306</v>
      </c>
      <c r="B34" s="109">
        <v>66512.263144999975</v>
      </c>
      <c r="C34" s="109">
        <v>10624.084232999972</v>
      </c>
      <c r="D34" s="109">
        <v>31990.654296875</v>
      </c>
      <c r="E34" s="109">
        <v>-17742.284805000032</v>
      </c>
      <c r="F34" s="188">
        <f t="shared" si="0"/>
        <v>75361.587915834214</v>
      </c>
      <c r="G34" s="189">
        <f t="shared" si="1"/>
        <v>11180.085057249793</v>
      </c>
      <c r="H34" s="189">
        <f t="shared" si="2"/>
        <v>33004.758038085936</v>
      </c>
      <c r="I34" s="189">
        <f t="shared" si="3"/>
        <v>-17742.284805000032</v>
      </c>
      <c r="J34" s="190">
        <f t="shared" si="4"/>
        <v>-85.164743251248893</v>
      </c>
      <c r="K34" s="191">
        <f t="shared" si="5"/>
        <v>195.2102588583063</v>
      </c>
      <c r="L34" s="191">
        <f t="shared" si="6"/>
        <v>-153.75674860129641</v>
      </c>
      <c r="M34" s="192">
        <f t="shared" si="11"/>
        <v>-14.570410998079666</v>
      </c>
      <c r="N34" s="190">
        <f t="shared" si="23"/>
        <v>83.359922418129472</v>
      </c>
      <c r="O34" s="190">
        <f t="shared" si="24"/>
        <v>5.450138590033677</v>
      </c>
      <c r="P34" s="190">
        <f t="shared" si="25"/>
        <v>20.295058949687551</v>
      </c>
      <c r="Q34" s="190">
        <f t="shared" si="26"/>
        <v>-9.8531816286577989</v>
      </c>
      <c r="R34" s="192">
        <f t="shared" si="10"/>
        <v>24.812984582298224</v>
      </c>
      <c r="S34" s="101"/>
    </row>
    <row r="35" spans="1:19" s="102" customFormat="1">
      <c r="A35" s="108" t="s">
        <v>307</v>
      </c>
      <c r="B35" s="109">
        <v>0</v>
      </c>
      <c r="C35" s="109">
        <v>0</v>
      </c>
      <c r="D35" s="109">
        <v>7030</v>
      </c>
      <c r="E35" s="109">
        <v>-740</v>
      </c>
      <c r="F35" s="188">
        <f t="shared" si="0"/>
        <v>0</v>
      </c>
      <c r="G35" s="189">
        <f t="shared" si="1"/>
        <v>0</v>
      </c>
      <c r="H35" s="189">
        <f t="shared" si="2"/>
        <v>7252.8510000000006</v>
      </c>
      <c r="I35" s="189">
        <f t="shared" si="3"/>
        <v>-740</v>
      </c>
      <c r="J35" s="190">
        <f t="shared" si="4"/>
        <v>0</v>
      </c>
      <c r="K35" s="191">
        <f t="shared" si="5"/>
        <v>0</v>
      </c>
      <c r="L35" s="191">
        <f t="shared" si="6"/>
        <v>-110.20288435540728</v>
      </c>
      <c r="M35" s="192">
        <f t="shared" si="11"/>
        <v>-36.734294785135759</v>
      </c>
      <c r="N35" s="190">
        <f t="shared" si="23"/>
        <v>0</v>
      </c>
      <c r="O35" s="190">
        <f t="shared" si="24"/>
        <v>0</v>
      </c>
      <c r="P35" s="190">
        <f t="shared" si="25"/>
        <v>4.4598732833745318</v>
      </c>
      <c r="Q35" s="190">
        <f t="shared" si="26"/>
        <v>-0.41095915691489526</v>
      </c>
      <c r="R35" s="192">
        <f t="shared" si="10"/>
        <v>1.0122285316149091</v>
      </c>
      <c r="S35" s="101"/>
    </row>
    <row r="36" spans="1:19" s="102" customFormat="1">
      <c r="A36" s="108" t="s">
        <v>308</v>
      </c>
      <c r="B36" s="109">
        <v>0</v>
      </c>
      <c r="C36" s="109">
        <v>0</v>
      </c>
      <c r="D36" s="109">
        <v>7400</v>
      </c>
      <c r="E36" s="109">
        <f>+D35-E37</f>
        <v>6290</v>
      </c>
      <c r="F36" s="188">
        <f t="shared" si="0"/>
        <v>0</v>
      </c>
      <c r="G36" s="189">
        <f t="shared" si="1"/>
        <v>0</v>
      </c>
      <c r="H36" s="189">
        <f t="shared" si="2"/>
        <v>7634.5800000000008</v>
      </c>
      <c r="I36" s="189">
        <f t="shared" si="3"/>
        <v>6290</v>
      </c>
      <c r="J36" s="190">
        <f t="shared" si="4"/>
        <v>0</v>
      </c>
      <c r="K36" s="191">
        <f t="shared" si="5"/>
        <v>0</v>
      </c>
      <c r="L36" s="191">
        <f t="shared" si="6"/>
        <v>-17.611708830086272</v>
      </c>
      <c r="M36" s="192">
        <f t="shared" si="11"/>
        <v>-5.870569610028757</v>
      </c>
      <c r="N36" s="190">
        <f t="shared" si="23"/>
        <v>0</v>
      </c>
      <c r="O36" s="190">
        <f t="shared" si="24"/>
        <v>0</v>
      </c>
      <c r="P36" s="190">
        <f t="shared" si="25"/>
        <v>4.6946034561837182</v>
      </c>
      <c r="Q36" s="190">
        <f t="shared" si="26"/>
        <v>3.4931528337766102</v>
      </c>
      <c r="R36" s="192">
        <f t="shared" si="10"/>
        <v>2.046939072490082</v>
      </c>
      <c r="S36" s="101"/>
    </row>
    <row r="37" spans="1:19" s="102" customFormat="1">
      <c r="A37" s="108" t="s">
        <v>309</v>
      </c>
      <c r="B37" s="109">
        <v>0</v>
      </c>
      <c r="C37" s="109">
        <v>0</v>
      </c>
      <c r="D37" s="109">
        <v>370</v>
      </c>
      <c r="E37" s="109">
        <v>740</v>
      </c>
      <c r="F37" s="188">
        <f t="shared" si="0"/>
        <v>0</v>
      </c>
      <c r="G37" s="189">
        <f t="shared" si="1"/>
        <v>0</v>
      </c>
      <c r="H37" s="189">
        <f t="shared" si="2"/>
        <v>381.72900000000004</v>
      </c>
      <c r="I37" s="189">
        <f t="shared" si="3"/>
        <v>740</v>
      </c>
      <c r="J37" s="190">
        <f t="shared" si="4"/>
        <v>0</v>
      </c>
      <c r="K37" s="191">
        <f t="shared" si="5"/>
        <v>0</v>
      </c>
      <c r="L37" s="191">
        <f t="shared" si="6"/>
        <v>93.854802752738181</v>
      </c>
      <c r="M37" s="192">
        <f t="shared" si="11"/>
        <v>31.284934250912727</v>
      </c>
      <c r="N37" s="190">
        <f t="shared" si="23"/>
        <v>0</v>
      </c>
      <c r="O37" s="190">
        <f t="shared" si="24"/>
        <v>0</v>
      </c>
      <c r="P37" s="190">
        <f t="shared" si="25"/>
        <v>0.2347301728091859</v>
      </c>
      <c r="Q37" s="190">
        <f t="shared" si="26"/>
        <v>0.41095915691489526</v>
      </c>
      <c r="R37" s="192">
        <f t="shared" si="10"/>
        <v>0.16142233243102028</v>
      </c>
      <c r="S37" s="101"/>
    </row>
    <row r="38" spans="1:19" s="102" customFormat="1">
      <c r="A38" s="108" t="s">
        <v>310</v>
      </c>
      <c r="B38" s="109">
        <v>-66512.263144999975</v>
      </c>
      <c r="C38" s="109">
        <v>-10624.084232999972</v>
      </c>
      <c r="D38" s="109">
        <v>-24960.654296875</v>
      </c>
      <c r="E38" s="109">
        <v>17002.284805000032</v>
      </c>
      <c r="F38" s="188">
        <f t="shared" si="0"/>
        <v>-75361.587915834214</v>
      </c>
      <c r="G38" s="189">
        <f t="shared" si="1"/>
        <v>-11180.085057249793</v>
      </c>
      <c r="H38" s="189">
        <f t="shared" si="2"/>
        <v>-25751.907038085938</v>
      </c>
      <c r="I38" s="189">
        <f t="shared" si="3"/>
        <v>17002.284805000032</v>
      </c>
      <c r="J38" s="190">
        <f t="shared" si="4"/>
        <v>-85.164743251248893</v>
      </c>
      <c r="K38" s="191">
        <f t="shared" si="5"/>
        <v>130.33730876123309</v>
      </c>
      <c r="L38" s="191">
        <f t="shared" si="6"/>
        <v>-166.02340082951682</v>
      </c>
      <c r="M38" s="192">
        <f t="shared" si="11"/>
        <v>-40.28361177317754</v>
      </c>
      <c r="N38" s="190">
        <f t="shared" si="23"/>
        <v>-83.359922418129472</v>
      </c>
      <c r="O38" s="190">
        <f t="shared" si="24"/>
        <v>-5.450138590033677</v>
      </c>
      <c r="P38" s="190">
        <f t="shared" si="25"/>
        <v>-15.835185666313018</v>
      </c>
      <c r="Q38" s="190">
        <f t="shared" si="26"/>
        <v>9.4422224717429035</v>
      </c>
      <c r="R38" s="192">
        <f t="shared" si="10"/>
        <v>-23.800756050683315</v>
      </c>
      <c r="S38" s="101"/>
    </row>
    <row r="39" spans="1:19" s="102" customFormat="1">
      <c r="A39" s="24" t="s">
        <v>311</v>
      </c>
      <c r="B39" s="143">
        <v>0</v>
      </c>
      <c r="C39" s="143">
        <v>0</v>
      </c>
      <c r="D39" s="215">
        <f>SUM(D36-D37)</f>
        <v>7030</v>
      </c>
      <c r="E39" s="215">
        <f>+D39-E37</f>
        <v>6290</v>
      </c>
      <c r="F39" s="181">
        <f t="shared" si="0"/>
        <v>0</v>
      </c>
      <c r="G39" s="181">
        <f t="shared" si="1"/>
        <v>0</v>
      </c>
      <c r="H39" s="181">
        <f t="shared" si="2"/>
        <v>7252.8510000000006</v>
      </c>
      <c r="I39" s="181">
        <f t="shared" si="3"/>
        <v>6290</v>
      </c>
      <c r="J39" s="186">
        <f t="shared" si="4"/>
        <v>0</v>
      </c>
      <c r="K39" s="186">
        <f t="shared" si="5"/>
        <v>0</v>
      </c>
      <c r="L39" s="186">
        <f t="shared" si="6"/>
        <v>-13.275482979038177</v>
      </c>
      <c r="M39" s="186">
        <f t="shared" si="11"/>
        <v>-4.4251609930127254</v>
      </c>
      <c r="N39" s="186">
        <f t="shared" si="23"/>
        <v>0</v>
      </c>
      <c r="O39" s="186">
        <f t="shared" si="24"/>
        <v>0</v>
      </c>
      <c r="P39" s="186">
        <f t="shared" si="25"/>
        <v>4.4598732833745318</v>
      </c>
      <c r="Q39" s="186">
        <f t="shared" si="26"/>
        <v>3.4931528337766102</v>
      </c>
      <c r="R39" s="186">
        <f t="shared" si="10"/>
        <v>1.9882565292877854</v>
      </c>
      <c r="S39" s="101"/>
    </row>
    <row r="40" spans="1:19">
      <c r="A40" s="117" t="s">
        <v>312</v>
      </c>
      <c r="B40" s="117"/>
      <c r="C40" s="118"/>
      <c r="D40" s="119"/>
      <c r="E40" s="120"/>
    </row>
    <row r="41" spans="1:19">
      <c r="A41" s="121" t="s">
        <v>313</v>
      </c>
      <c r="C41" s="122"/>
      <c r="E41" s="120"/>
    </row>
    <row r="42" spans="1:19">
      <c r="C42" s="122"/>
      <c r="E42" s="120"/>
    </row>
    <row r="43" spans="1:19">
      <c r="C43" s="122"/>
      <c r="E43" s="120"/>
    </row>
    <row r="44" spans="1:19">
      <c r="C44" s="122"/>
      <c r="E44" s="120"/>
    </row>
    <row r="45" spans="1:19">
      <c r="C45" s="122"/>
      <c r="E45" s="120"/>
    </row>
    <row r="46" spans="1:19">
      <c r="C46" s="122"/>
      <c r="E46" s="120"/>
    </row>
    <row r="47" spans="1:19">
      <c r="C47" s="122"/>
      <c r="E47" s="120"/>
    </row>
    <row r="48" spans="1:19">
      <c r="C48" s="122"/>
      <c r="E48" s="120"/>
    </row>
    <row r="49" spans="3:5">
      <c r="C49" s="122"/>
      <c r="E49" s="120"/>
    </row>
    <row r="50" spans="3:5">
      <c r="C50" s="122"/>
      <c r="E50" s="120"/>
    </row>
    <row r="51" spans="3:5">
      <c r="C51" s="122"/>
      <c r="E51" s="120"/>
    </row>
    <row r="52" spans="3:5">
      <c r="C52" s="122"/>
      <c r="E52" s="120"/>
    </row>
    <row r="53" spans="3:5">
      <c r="C53" s="122"/>
      <c r="E53" s="120"/>
    </row>
    <row r="54" spans="3:5">
      <c r="C54" s="122"/>
      <c r="E54" s="120"/>
    </row>
    <row r="55" spans="3:5">
      <c r="C55" s="122"/>
      <c r="E55" s="120"/>
    </row>
    <row r="56" spans="3:5">
      <c r="C56" s="122"/>
      <c r="E56" s="120"/>
    </row>
    <row r="57" spans="3:5">
      <c r="C57" s="122"/>
      <c r="E57" s="120"/>
    </row>
    <row r="58" spans="3:5">
      <c r="C58" s="122"/>
      <c r="E58" s="120"/>
    </row>
    <row r="59" spans="3:5">
      <c r="C59" s="122"/>
      <c r="E59" s="120"/>
    </row>
    <row r="60" spans="3:5">
      <c r="C60" s="122"/>
      <c r="E60" s="120"/>
    </row>
    <row r="61" spans="3:5">
      <c r="C61" s="122"/>
      <c r="E61" s="120"/>
    </row>
    <row r="62" spans="3:5">
      <c r="E62" s="120"/>
    </row>
  </sheetData>
  <hyperlinks>
    <hyperlink ref="A4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N200"/>
  <sheetViews>
    <sheetView tabSelected="1" zoomScaleNormal="100" workbookViewId="0">
      <pane ySplit="3" topLeftCell="A4" activePane="bottomLeft" state="frozen"/>
      <selection activeCell="C1" sqref="C1"/>
      <selection pane="bottomLeft" activeCell="H1" sqref="H1"/>
    </sheetView>
  </sheetViews>
  <sheetFormatPr baseColWidth="10" defaultRowHeight="15"/>
  <cols>
    <col min="1" max="1" width="14" style="1" customWidth="1"/>
    <col min="2" max="2" width="57.7109375" style="2" customWidth="1"/>
    <col min="3" max="3" width="12.5703125" style="3" bestFit="1" customWidth="1"/>
    <col min="4" max="4" width="14" customWidth="1"/>
    <col min="5" max="5" width="16.28515625" customWidth="1"/>
    <col min="6" max="6" width="13.7109375" customWidth="1"/>
    <col min="7" max="7" width="14.28515625" customWidth="1"/>
    <col min="8" max="8" width="13.7109375" bestFit="1" customWidth="1"/>
    <col min="9" max="9" width="13.5703125" customWidth="1"/>
    <col min="10" max="13" width="13.7109375" bestFit="1" customWidth="1"/>
  </cols>
  <sheetData>
    <row r="1" spans="1:13" ht="15.75">
      <c r="A1" s="220" t="s">
        <v>593</v>
      </c>
      <c r="B1" s="220"/>
      <c r="C1" s="220"/>
      <c r="D1" s="160"/>
      <c r="E1" s="160"/>
      <c r="F1" s="160"/>
      <c r="G1" s="160"/>
      <c r="H1" s="160"/>
      <c r="I1" s="160"/>
    </row>
    <row r="2" spans="1:13" ht="15.75">
      <c r="A2" s="144" t="str">
        <f>'Datos '!B6&amp;" - "&amp;+'Datos '!B4</f>
        <v>CIÉNAGA - MAGDALENA</v>
      </c>
      <c r="B2" s="146"/>
      <c r="C2" s="146"/>
      <c r="D2" s="160">
        <v>1.03</v>
      </c>
      <c r="E2" s="160">
        <v>1.03</v>
      </c>
      <c r="F2" s="160">
        <v>1.03</v>
      </c>
      <c r="G2" s="160">
        <v>1.03</v>
      </c>
      <c r="H2" s="160">
        <v>1.03</v>
      </c>
      <c r="I2" s="160">
        <v>1.03</v>
      </c>
      <c r="J2" s="160">
        <v>1.03</v>
      </c>
      <c r="K2" s="160">
        <v>1.03</v>
      </c>
      <c r="L2" s="160">
        <v>1.03</v>
      </c>
      <c r="M2" s="160">
        <v>1.03</v>
      </c>
    </row>
    <row r="3" spans="1:13" ht="25.5" customHeight="1">
      <c r="A3" s="26" t="s">
        <v>0</v>
      </c>
      <c r="B3" s="26" t="s">
        <v>24</v>
      </c>
      <c r="C3" s="27">
        <v>2018</v>
      </c>
      <c r="D3" s="27">
        <v>2019</v>
      </c>
      <c r="E3" s="27">
        <v>2020</v>
      </c>
      <c r="F3" s="27">
        <v>2021</v>
      </c>
      <c r="G3" s="27">
        <v>2022</v>
      </c>
      <c r="H3" s="27">
        <v>2023</v>
      </c>
      <c r="I3" s="27">
        <v>2024</v>
      </c>
      <c r="J3" s="27">
        <v>2025</v>
      </c>
      <c r="K3" s="27">
        <v>2026</v>
      </c>
      <c r="L3" s="27">
        <v>2027</v>
      </c>
      <c r="M3" s="27">
        <v>2028</v>
      </c>
    </row>
    <row r="4" spans="1:13">
      <c r="A4" s="24" t="s">
        <v>25</v>
      </c>
      <c r="B4" s="25" t="s">
        <v>26</v>
      </c>
      <c r="C4" s="152">
        <f t="shared" ref="C4:M4" si="0">C5+C89</f>
        <v>155960057508</v>
      </c>
      <c r="D4" s="152">
        <f t="shared" si="0"/>
        <v>160860324713.23999</v>
      </c>
      <c r="E4" s="152">
        <f t="shared" si="0"/>
        <v>165686134454.63724</v>
      </c>
      <c r="F4" s="152">
        <f t="shared" si="0"/>
        <v>170656718488.27634</v>
      </c>
      <c r="G4" s="152">
        <f t="shared" si="0"/>
        <v>175776420042.92462</v>
      </c>
      <c r="H4" s="152">
        <f t="shared" si="0"/>
        <v>181049712644.21234</v>
      </c>
      <c r="I4" s="152">
        <f t="shared" si="0"/>
        <v>186481204023.53876</v>
      </c>
      <c r="J4" s="152">
        <f t="shared" si="0"/>
        <v>192075640144.2449</v>
      </c>
      <c r="K4" s="152">
        <f t="shared" si="0"/>
        <v>197837909348.57227</v>
      </c>
      <c r="L4" s="152">
        <f t="shared" si="0"/>
        <v>203773046629.02942</v>
      </c>
      <c r="M4" s="152">
        <f t="shared" si="0"/>
        <v>209886238027.90033</v>
      </c>
    </row>
    <row r="5" spans="1:13">
      <c r="A5" s="6" t="s">
        <v>27</v>
      </c>
      <c r="B5" s="7" t="s">
        <v>28</v>
      </c>
      <c r="C5" s="153">
        <f t="shared" ref="C5:M5" si="1">C6+C18+C21</f>
        <v>155960057508</v>
      </c>
      <c r="D5" s="153">
        <f t="shared" si="1"/>
        <v>160860324713.23999</v>
      </c>
      <c r="E5" s="153">
        <f t="shared" si="1"/>
        <v>165686134454.63724</v>
      </c>
      <c r="F5" s="153">
        <f t="shared" si="1"/>
        <v>170656718488.27634</v>
      </c>
      <c r="G5" s="153">
        <f t="shared" si="1"/>
        <v>175776420042.92462</v>
      </c>
      <c r="H5" s="153">
        <f t="shared" si="1"/>
        <v>181049712644.21234</v>
      </c>
      <c r="I5" s="153">
        <f t="shared" si="1"/>
        <v>186481204023.53876</v>
      </c>
      <c r="J5" s="153">
        <f t="shared" si="1"/>
        <v>192075640144.2449</v>
      </c>
      <c r="K5" s="153">
        <f t="shared" si="1"/>
        <v>197837909348.57227</v>
      </c>
      <c r="L5" s="153">
        <f t="shared" si="1"/>
        <v>203773046629.02942</v>
      </c>
      <c r="M5" s="153">
        <f t="shared" si="1"/>
        <v>209886238027.90033</v>
      </c>
    </row>
    <row r="6" spans="1:13">
      <c r="A6" s="6" t="s">
        <v>29</v>
      </c>
      <c r="B6" s="7" t="s">
        <v>30</v>
      </c>
      <c r="C6" s="153">
        <f t="shared" ref="C6:M6" si="2">SUM(C7:C17)</f>
        <v>14717002338</v>
      </c>
      <c r="D6" s="153">
        <f t="shared" si="2"/>
        <v>15158512408.139999</v>
      </c>
      <c r="E6" s="153">
        <f t="shared" si="2"/>
        <v>15613267780.384203</v>
      </c>
      <c r="F6" s="153">
        <f t="shared" si="2"/>
        <v>16081665813.795727</v>
      </c>
      <c r="G6" s="153">
        <f t="shared" si="2"/>
        <v>16564115788.2096</v>
      </c>
      <c r="H6" s="153">
        <f t="shared" si="2"/>
        <v>17061039261.85589</v>
      </c>
      <c r="I6" s="153">
        <f t="shared" si="2"/>
        <v>17572870439.711563</v>
      </c>
      <c r="J6" s="153">
        <f t="shared" si="2"/>
        <v>18100056552.902912</v>
      </c>
      <c r="K6" s="153">
        <f t="shared" si="2"/>
        <v>18643058249.490002</v>
      </c>
      <c r="L6" s="153">
        <f t="shared" si="2"/>
        <v>19202349996.974705</v>
      </c>
      <c r="M6" s="153">
        <f t="shared" si="2"/>
        <v>19778420496.883942</v>
      </c>
    </row>
    <row r="7" spans="1:13">
      <c r="A7" s="10" t="s">
        <v>31</v>
      </c>
      <c r="B7" s="11" t="s">
        <v>32</v>
      </c>
      <c r="C7" s="151">
        <v>968685079</v>
      </c>
      <c r="D7" s="151">
        <f>SUM(C7*D2)</f>
        <v>997745631.37</v>
      </c>
      <c r="E7" s="151">
        <f>SUM(D7*$E$2)</f>
        <v>1027678000.3111</v>
      </c>
      <c r="F7" s="151">
        <f>SUM(E7*$F$2)</f>
        <v>1058508340.320433</v>
      </c>
      <c r="G7" s="151">
        <f>SUM(F7*$G$2)</f>
        <v>1090263590.530046</v>
      </c>
      <c r="H7" s="151">
        <f>SUM(G7*$H$2)</f>
        <v>1122971498.2459474</v>
      </c>
      <c r="I7" s="151">
        <f>SUM(H7*$I$2)</f>
        <v>1156660643.1933258</v>
      </c>
      <c r="J7" s="151">
        <f>SUM(I7*$J$2)</f>
        <v>1191360462.4891255</v>
      </c>
      <c r="K7" s="151">
        <f>SUM(J7*$K$2)</f>
        <v>1227101276.3637993</v>
      </c>
      <c r="L7" s="151">
        <f>SUM(K7*$L$2)</f>
        <v>1263914314.6547134</v>
      </c>
      <c r="M7" s="151">
        <f>SUM(L7*$M$2)</f>
        <v>1301831744.0943549</v>
      </c>
    </row>
    <row r="8" spans="1:13" ht="15.75" customHeight="1">
      <c r="A8" s="10" t="s">
        <v>33</v>
      </c>
      <c r="B8" s="11" t="s">
        <v>34</v>
      </c>
      <c r="C8" s="151">
        <v>10541020000</v>
      </c>
      <c r="D8" s="151">
        <f>SUM(C8*D2)</f>
        <v>10857250600</v>
      </c>
      <c r="E8" s="151">
        <f t="shared" ref="E8:E17" si="3">SUM(D8*$E$2)</f>
        <v>11182968118</v>
      </c>
      <c r="F8" s="151">
        <f t="shared" ref="F8:F17" si="4">SUM(E8*$F$2)</f>
        <v>11518457161.540001</v>
      </c>
      <c r="G8" s="151">
        <f t="shared" ref="G8:G17" si="5">SUM(F8*$G$2)</f>
        <v>11864010876.386202</v>
      </c>
      <c r="H8" s="151">
        <f t="shared" ref="H8:H17" si="6">SUM(G8*$H$2)</f>
        <v>12219931202.677788</v>
      </c>
      <c r="I8" s="151">
        <f t="shared" ref="I8:I17" si="7">SUM(H8*$I$2)</f>
        <v>12586529138.758121</v>
      </c>
      <c r="J8" s="151">
        <f t="shared" ref="J8:J17" si="8">SUM(I8*$J$2)</f>
        <v>12964125012.920866</v>
      </c>
      <c r="K8" s="151">
        <f t="shared" ref="K8:K17" si="9">SUM(J8*$K$2)</f>
        <v>13353048763.308493</v>
      </c>
      <c r="L8" s="151">
        <f t="shared" ref="L8:L17" si="10">SUM(K8*$L$2)</f>
        <v>13753640226.207748</v>
      </c>
      <c r="M8" s="151">
        <f t="shared" ref="M8:M17" si="11">SUM(L8*$M$2)</f>
        <v>14166249432.99398</v>
      </c>
    </row>
    <row r="9" spans="1:13">
      <c r="A9" s="10" t="s">
        <v>35</v>
      </c>
      <c r="B9" s="11" t="s">
        <v>576</v>
      </c>
      <c r="C9" s="151">
        <v>216465256</v>
      </c>
      <c r="D9" s="151">
        <f>SUM(C9*D2)</f>
        <v>222959213.68000001</v>
      </c>
      <c r="E9" s="151">
        <f t="shared" si="3"/>
        <v>229647990.09040001</v>
      </c>
      <c r="F9" s="151">
        <f t="shared" si="4"/>
        <v>236537429.79311201</v>
      </c>
      <c r="G9" s="151">
        <f t="shared" si="5"/>
        <v>243633552.68690538</v>
      </c>
      <c r="H9" s="151">
        <f t="shared" si="6"/>
        <v>250942559.26751256</v>
      </c>
      <c r="I9" s="151">
        <f t="shared" si="7"/>
        <v>258470836.04553795</v>
      </c>
      <c r="J9" s="151">
        <f t="shared" si="8"/>
        <v>266224961.1269041</v>
      </c>
      <c r="K9" s="151">
        <f t="shared" si="9"/>
        <v>274211709.96071124</v>
      </c>
      <c r="L9" s="151">
        <f t="shared" si="10"/>
        <v>282438061.25953257</v>
      </c>
      <c r="M9" s="151">
        <f t="shared" si="11"/>
        <v>290911203.09731853</v>
      </c>
    </row>
    <row r="10" spans="1:13" hidden="1">
      <c r="A10" s="10" t="s">
        <v>37</v>
      </c>
      <c r="B10" s="11" t="s">
        <v>38</v>
      </c>
      <c r="C10" s="151"/>
      <c r="D10" s="151"/>
      <c r="E10" s="151">
        <f t="shared" si="3"/>
        <v>0</v>
      </c>
      <c r="F10" s="151">
        <f t="shared" si="4"/>
        <v>0</v>
      </c>
      <c r="G10" s="151">
        <f t="shared" si="5"/>
        <v>0</v>
      </c>
      <c r="H10" s="151">
        <f t="shared" si="6"/>
        <v>0</v>
      </c>
      <c r="I10" s="151">
        <f t="shared" si="7"/>
        <v>0</v>
      </c>
      <c r="J10" s="151">
        <f t="shared" si="8"/>
        <v>0</v>
      </c>
      <c r="K10" s="151">
        <f t="shared" si="9"/>
        <v>0</v>
      </c>
      <c r="L10" s="151">
        <f t="shared" si="10"/>
        <v>0</v>
      </c>
      <c r="M10" s="151">
        <f t="shared" si="11"/>
        <v>0</v>
      </c>
    </row>
    <row r="11" spans="1:13" hidden="1">
      <c r="A11" s="10" t="s">
        <v>39</v>
      </c>
      <c r="B11" s="11" t="s">
        <v>40</v>
      </c>
      <c r="C11" s="151"/>
      <c r="D11" s="151"/>
      <c r="E11" s="151">
        <f t="shared" si="3"/>
        <v>0</v>
      </c>
      <c r="F11" s="151">
        <f t="shared" si="4"/>
        <v>0</v>
      </c>
      <c r="G11" s="151">
        <f t="shared" si="5"/>
        <v>0</v>
      </c>
      <c r="H11" s="151">
        <f t="shared" si="6"/>
        <v>0</v>
      </c>
      <c r="I11" s="151">
        <f t="shared" si="7"/>
        <v>0</v>
      </c>
      <c r="J11" s="151">
        <f t="shared" si="8"/>
        <v>0</v>
      </c>
      <c r="K11" s="151">
        <f t="shared" si="9"/>
        <v>0</v>
      </c>
      <c r="L11" s="151">
        <f t="shared" si="10"/>
        <v>0</v>
      </c>
      <c r="M11" s="151">
        <f t="shared" si="11"/>
        <v>0</v>
      </c>
    </row>
    <row r="12" spans="1:13" hidden="1">
      <c r="A12" s="10" t="s">
        <v>41</v>
      </c>
      <c r="B12" s="11" t="s">
        <v>42</v>
      </c>
      <c r="C12" s="151"/>
      <c r="D12" s="151"/>
      <c r="E12" s="151">
        <f t="shared" si="3"/>
        <v>0</v>
      </c>
      <c r="F12" s="151">
        <f t="shared" si="4"/>
        <v>0</v>
      </c>
      <c r="G12" s="151">
        <f t="shared" si="5"/>
        <v>0</v>
      </c>
      <c r="H12" s="151">
        <f t="shared" si="6"/>
        <v>0</v>
      </c>
      <c r="I12" s="151">
        <f t="shared" si="7"/>
        <v>0</v>
      </c>
      <c r="J12" s="151">
        <f t="shared" si="8"/>
        <v>0</v>
      </c>
      <c r="K12" s="151">
        <f t="shared" si="9"/>
        <v>0</v>
      </c>
      <c r="L12" s="151">
        <f t="shared" si="10"/>
        <v>0</v>
      </c>
      <c r="M12" s="151">
        <f t="shared" si="11"/>
        <v>0</v>
      </c>
    </row>
    <row r="13" spans="1:13">
      <c r="A13" s="10" t="s">
        <v>43</v>
      </c>
      <c r="B13" s="11" t="s">
        <v>44</v>
      </c>
      <c r="C13" s="151">
        <v>1015218470</v>
      </c>
      <c r="D13" s="151">
        <f>SUM(C13*D2)</f>
        <v>1045675024.1</v>
      </c>
      <c r="E13" s="151">
        <f t="shared" si="3"/>
        <v>1077045274.823</v>
      </c>
      <c r="F13" s="151">
        <f t="shared" si="4"/>
        <v>1109356633.0676899</v>
      </c>
      <c r="G13" s="151">
        <f t="shared" si="5"/>
        <v>1142637332.0597205</v>
      </c>
      <c r="H13" s="151">
        <f t="shared" si="6"/>
        <v>1176916452.0215123</v>
      </c>
      <c r="I13" s="151">
        <f t="shared" si="7"/>
        <v>1212223945.5821576</v>
      </c>
      <c r="J13" s="151">
        <f t="shared" si="8"/>
        <v>1248590663.9496224</v>
      </c>
      <c r="K13" s="151">
        <f t="shared" si="9"/>
        <v>1286048383.8681111</v>
      </c>
      <c r="L13" s="151">
        <f t="shared" si="10"/>
        <v>1324629835.3841546</v>
      </c>
      <c r="M13" s="151">
        <f t="shared" si="11"/>
        <v>1364368730.4456792</v>
      </c>
    </row>
    <row r="14" spans="1:13">
      <c r="A14" s="10" t="s">
        <v>45</v>
      </c>
      <c r="B14" s="11" t="s">
        <v>46</v>
      </c>
      <c r="C14" s="151">
        <v>959549063</v>
      </c>
      <c r="D14" s="151">
        <f>SUM(C14*D2)</f>
        <v>988335534.88999999</v>
      </c>
      <c r="E14" s="151">
        <f t="shared" si="3"/>
        <v>1017985600.9367</v>
      </c>
      <c r="F14" s="151">
        <f t="shared" si="4"/>
        <v>1048525168.964801</v>
      </c>
      <c r="G14" s="151">
        <f t="shared" si="5"/>
        <v>1079980924.0337451</v>
      </c>
      <c r="H14" s="151">
        <f t="shared" si="6"/>
        <v>1112380351.7547574</v>
      </c>
      <c r="I14" s="151">
        <f t="shared" si="7"/>
        <v>1145751762.3074002</v>
      </c>
      <c r="J14" s="151">
        <f t="shared" si="8"/>
        <v>1180124315.1766222</v>
      </c>
      <c r="K14" s="151">
        <f t="shared" si="9"/>
        <v>1215528044.6319208</v>
      </c>
      <c r="L14" s="151">
        <f t="shared" si="10"/>
        <v>1251993885.9708784</v>
      </c>
      <c r="M14" s="151">
        <f t="shared" si="11"/>
        <v>1289553702.5500047</v>
      </c>
    </row>
    <row r="15" spans="1:13">
      <c r="A15" s="10" t="s">
        <v>47</v>
      </c>
      <c r="B15" s="11" t="s">
        <v>48</v>
      </c>
      <c r="C15" s="151">
        <v>330628346</v>
      </c>
      <c r="D15" s="151">
        <f>SUM(C15*D2)</f>
        <v>340547196.38</v>
      </c>
      <c r="E15" s="151">
        <f t="shared" si="3"/>
        <v>350763612.27139997</v>
      </c>
      <c r="F15" s="151">
        <f t="shared" si="4"/>
        <v>361286520.63954198</v>
      </c>
      <c r="G15" s="151">
        <f t="shared" si="5"/>
        <v>372125116.25872827</v>
      </c>
      <c r="H15" s="151">
        <f t="shared" si="6"/>
        <v>383288869.74649012</v>
      </c>
      <c r="I15" s="151">
        <f t="shared" si="7"/>
        <v>394787535.83888483</v>
      </c>
      <c r="J15" s="151">
        <f t="shared" si="8"/>
        <v>406631161.91405141</v>
      </c>
      <c r="K15" s="151">
        <f t="shared" si="9"/>
        <v>418830096.77147299</v>
      </c>
      <c r="L15" s="151">
        <f t="shared" si="10"/>
        <v>431394999.67461717</v>
      </c>
      <c r="M15" s="151">
        <f t="shared" si="11"/>
        <v>444336849.66485572</v>
      </c>
    </row>
    <row r="16" spans="1:13">
      <c r="A16" s="10" t="s">
        <v>49</v>
      </c>
      <c r="B16" s="11" t="s">
        <v>577</v>
      </c>
      <c r="C16" s="151">
        <v>659916227</v>
      </c>
      <c r="D16" s="151">
        <f>SUM(C16*D2)</f>
        <v>679713713.81000006</v>
      </c>
      <c r="E16" s="151">
        <f t="shared" si="3"/>
        <v>700105125.22430003</v>
      </c>
      <c r="F16" s="151">
        <f t="shared" si="4"/>
        <v>721108278.98102903</v>
      </c>
      <c r="G16" s="151">
        <f t="shared" si="5"/>
        <v>742741527.35045993</v>
      </c>
      <c r="H16" s="151">
        <f t="shared" si="6"/>
        <v>765023773.17097378</v>
      </c>
      <c r="I16" s="151">
        <f t="shared" si="7"/>
        <v>787974486.36610305</v>
      </c>
      <c r="J16" s="151">
        <f t="shared" si="8"/>
        <v>811613720.95708621</v>
      </c>
      <c r="K16" s="151">
        <f t="shared" si="9"/>
        <v>835962132.58579886</v>
      </c>
      <c r="L16" s="151">
        <f t="shared" si="10"/>
        <v>861040996.56337285</v>
      </c>
      <c r="M16" s="151">
        <f t="shared" si="11"/>
        <v>886872226.4602741</v>
      </c>
    </row>
    <row r="17" spans="1:13">
      <c r="A17" s="10" t="s">
        <v>51</v>
      </c>
      <c r="B17" s="11" t="s">
        <v>52</v>
      </c>
      <c r="C17" s="151">
        <f>8000000+17519897</f>
        <v>25519897</v>
      </c>
      <c r="D17" s="151">
        <f>SUM(C17*D2)</f>
        <v>26285493.91</v>
      </c>
      <c r="E17" s="151">
        <f t="shared" si="3"/>
        <v>27074058.727299999</v>
      </c>
      <c r="F17" s="151">
        <f t="shared" si="4"/>
        <v>27886280.489119001</v>
      </c>
      <c r="G17" s="151">
        <f t="shared" si="5"/>
        <v>28722868.903792571</v>
      </c>
      <c r="H17" s="151">
        <f t="shared" si="6"/>
        <v>29584554.970906351</v>
      </c>
      <c r="I17" s="151">
        <f t="shared" si="7"/>
        <v>30472091.620033544</v>
      </c>
      <c r="J17" s="151">
        <f t="shared" si="8"/>
        <v>31386254.368634552</v>
      </c>
      <c r="K17" s="151">
        <f t="shared" si="9"/>
        <v>32327841.999693587</v>
      </c>
      <c r="L17" s="151">
        <f t="shared" si="10"/>
        <v>33297677.259684395</v>
      </c>
      <c r="M17" s="151">
        <f t="shared" si="11"/>
        <v>34296607.577474929</v>
      </c>
    </row>
    <row r="18" spans="1:13">
      <c r="A18" s="6" t="s">
        <v>53</v>
      </c>
      <c r="B18" s="7" t="s">
        <v>54</v>
      </c>
      <c r="C18" s="153">
        <f t="shared" ref="C18" si="12">SUM(C19:C20)</f>
        <v>32214500</v>
      </c>
      <c r="D18" s="153">
        <f t="shared" ref="D18" si="13">SUM(D19:D20)</f>
        <v>254646415</v>
      </c>
      <c r="E18" s="153">
        <f t="shared" ref="E18" si="14">SUM(E19:E20)</f>
        <v>262285807.45000002</v>
      </c>
      <c r="F18" s="153">
        <f t="shared" ref="F18" si="15">SUM(F19:F20)</f>
        <v>270154381.6735</v>
      </c>
      <c r="G18" s="153">
        <f t="shared" ref="G18" si="16">SUM(G19:G20)</f>
        <v>278259013.12370503</v>
      </c>
      <c r="H18" s="153">
        <f t="shared" ref="H18" si="17">SUM(H19:H20)</f>
        <v>286606783.51741618</v>
      </c>
      <c r="I18" s="153">
        <f t="shared" ref="I18" si="18">SUM(I19:I20)</f>
        <v>295204987.02293867</v>
      </c>
      <c r="J18" s="153">
        <f t="shared" ref="J18" si="19">SUM(J19:J20)</f>
        <v>304061136.63362682</v>
      </c>
      <c r="K18" s="153">
        <f t="shared" ref="K18" si="20">SUM(K19:K20)</f>
        <v>313182970.73263562</v>
      </c>
      <c r="L18" s="153">
        <f t="shared" ref="L18" si="21">SUM(L19:L20)</f>
        <v>322578459.85461468</v>
      </c>
      <c r="M18" s="153">
        <f t="shared" ref="M18" si="22">SUM(M19:M20)</f>
        <v>332255813.65025312</v>
      </c>
    </row>
    <row r="19" spans="1:13">
      <c r="A19" s="10" t="s">
        <v>55</v>
      </c>
      <c r="B19" s="11" t="s">
        <v>56</v>
      </c>
      <c r="C19" s="151">
        <v>32214500</v>
      </c>
      <c r="D19" s="151">
        <v>254646415</v>
      </c>
      <c r="E19" s="151">
        <f t="shared" ref="E19:M19" si="23">SUM(D19*E2)</f>
        <v>262285807.45000002</v>
      </c>
      <c r="F19" s="151">
        <f t="shared" si="23"/>
        <v>270154381.6735</v>
      </c>
      <c r="G19" s="151">
        <f t="shared" si="23"/>
        <v>278259013.12370503</v>
      </c>
      <c r="H19" s="151">
        <f t="shared" si="23"/>
        <v>286606783.51741618</v>
      </c>
      <c r="I19" s="151">
        <f t="shared" si="23"/>
        <v>295204987.02293867</v>
      </c>
      <c r="J19" s="151">
        <f t="shared" si="23"/>
        <v>304061136.63362682</v>
      </c>
      <c r="K19" s="151">
        <f t="shared" si="23"/>
        <v>313182970.73263562</v>
      </c>
      <c r="L19" s="151">
        <f t="shared" si="23"/>
        <v>322578459.85461468</v>
      </c>
      <c r="M19" s="151">
        <f t="shared" si="23"/>
        <v>332255813.65025312</v>
      </c>
    </row>
    <row r="20" spans="1:13">
      <c r="A20" s="10" t="s">
        <v>57</v>
      </c>
      <c r="B20" s="11" t="s">
        <v>58</v>
      </c>
      <c r="C20" s="151">
        <v>0</v>
      </c>
      <c r="D20" s="151">
        <v>0</v>
      </c>
      <c r="E20" s="151">
        <v>0</v>
      </c>
      <c r="F20" s="151">
        <v>0</v>
      </c>
      <c r="G20" s="151">
        <v>0</v>
      </c>
      <c r="H20" s="151">
        <v>0</v>
      </c>
      <c r="I20" s="151">
        <v>0</v>
      </c>
      <c r="J20" s="151">
        <v>0</v>
      </c>
      <c r="K20" s="151">
        <v>0</v>
      </c>
      <c r="L20" s="151">
        <v>0</v>
      </c>
      <c r="M20" s="151">
        <v>0</v>
      </c>
    </row>
    <row r="21" spans="1:13">
      <c r="A21" s="6" t="s">
        <v>59</v>
      </c>
      <c r="B21" s="7" t="s">
        <v>60</v>
      </c>
      <c r="C21" s="153">
        <f t="shared" ref="C21" si="24">C22+C30</f>
        <v>141210840670</v>
      </c>
      <c r="D21" s="153">
        <f t="shared" ref="D21" si="25">D22+D30</f>
        <v>145447165890.10001</v>
      </c>
      <c r="E21" s="153">
        <f t="shared" ref="E21" si="26">E22+E30</f>
        <v>149810580866.80304</v>
      </c>
      <c r="F21" s="153">
        <f t="shared" ref="F21" si="27">F22+F30</f>
        <v>154304898292.8071</v>
      </c>
      <c r="G21" s="153">
        <f t="shared" ref="G21" si="28">G22+G30</f>
        <v>158934045241.59131</v>
      </c>
      <c r="H21" s="153">
        <f t="shared" ref="H21" si="29">H22+H30</f>
        <v>163702066598.83905</v>
      </c>
      <c r="I21" s="153">
        <f t="shared" ref="I21" si="30">I22+I30</f>
        <v>168613128596.80426</v>
      </c>
      <c r="J21" s="153">
        <f t="shared" ref="J21" si="31">J22+J30</f>
        <v>173671522454.70837</v>
      </c>
      <c r="K21" s="153">
        <f t="shared" ref="K21" si="32">K22+K30</f>
        <v>178881668128.34964</v>
      </c>
      <c r="L21" s="153">
        <f t="shared" ref="L21" si="33">L22+L30</f>
        <v>184248118172.2001</v>
      </c>
      <c r="M21" s="153">
        <f t="shared" ref="M21" si="34">M22+M30</f>
        <v>189775561717.36612</v>
      </c>
    </row>
    <row r="22" spans="1:13">
      <c r="A22" s="10" t="s">
        <v>61</v>
      </c>
      <c r="B22" s="11" t="s">
        <v>62</v>
      </c>
      <c r="C22" s="151">
        <f>SUM(C23)</f>
        <v>2147916778</v>
      </c>
      <c r="D22" s="151">
        <f t="shared" ref="D22:M22" si="35">SUM(D23)</f>
        <v>2212354281.3400002</v>
      </c>
      <c r="E22" s="151">
        <f t="shared" si="35"/>
        <v>2278724909.7802</v>
      </c>
      <c r="F22" s="151">
        <f t="shared" si="35"/>
        <v>2347086657.073606</v>
      </c>
      <c r="G22" s="151">
        <f t="shared" si="35"/>
        <v>2417499256.7858143</v>
      </c>
      <c r="H22" s="151">
        <f t="shared" si="35"/>
        <v>2490024234.4893889</v>
      </c>
      <c r="I22" s="151">
        <f t="shared" si="35"/>
        <v>2564724961.5240707</v>
      </c>
      <c r="J22" s="151">
        <f t="shared" si="35"/>
        <v>2641666710.3697929</v>
      </c>
      <c r="K22" s="151">
        <f t="shared" si="35"/>
        <v>2720916711.6808867</v>
      </c>
      <c r="L22" s="151">
        <f t="shared" si="35"/>
        <v>2802544213.0313134</v>
      </c>
      <c r="M22" s="151">
        <f t="shared" si="35"/>
        <v>2886620539.4222531</v>
      </c>
    </row>
    <row r="23" spans="1:13">
      <c r="A23" s="10" t="s">
        <v>63</v>
      </c>
      <c r="B23" s="11" t="s">
        <v>64</v>
      </c>
      <c r="C23" s="151">
        <f>SUM(C24:C25)</f>
        <v>2147916778</v>
      </c>
      <c r="D23" s="151">
        <f t="shared" ref="D23:M23" si="36">SUM(D24:D25)</f>
        <v>2212354281.3400002</v>
      </c>
      <c r="E23" s="151">
        <f t="shared" si="36"/>
        <v>2278724909.7802</v>
      </c>
      <c r="F23" s="151">
        <f t="shared" si="36"/>
        <v>2347086657.073606</v>
      </c>
      <c r="G23" s="151">
        <f t="shared" si="36"/>
        <v>2417499256.7858143</v>
      </c>
      <c r="H23" s="151">
        <f t="shared" si="36"/>
        <v>2490024234.4893889</v>
      </c>
      <c r="I23" s="151">
        <f t="shared" si="36"/>
        <v>2564724961.5240707</v>
      </c>
      <c r="J23" s="151">
        <f t="shared" si="36"/>
        <v>2641666710.3697929</v>
      </c>
      <c r="K23" s="151">
        <f t="shared" si="36"/>
        <v>2720916711.6808867</v>
      </c>
      <c r="L23" s="151">
        <f t="shared" si="36"/>
        <v>2802544213.0313134</v>
      </c>
      <c r="M23" s="151">
        <f t="shared" si="36"/>
        <v>2886620539.4222531</v>
      </c>
    </row>
    <row r="24" spans="1:13" ht="16.5" customHeight="1">
      <c r="A24" s="10" t="s">
        <v>65</v>
      </c>
      <c r="B24" s="11" t="s">
        <v>479</v>
      </c>
      <c r="C24" s="151">
        <v>2147916778</v>
      </c>
      <c r="D24" s="151">
        <f>SUM(C24*D2)</f>
        <v>2212354281.3400002</v>
      </c>
      <c r="E24" s="151">
        <f t="shared" ref="E24:M24" si="37">SUM(D24*E2)</f>
        <v>2278724909.7802</v>
      </c>
      <c r="F24" s="151">
        <f t="shared" si="37"/>
        <v>2347086657.073606</v>
      </c>
      <c r="G24" s="151">
        <f t="shared" si="37"/>
        <v>2417499256.7858143</v>
      </c>
      <c r="H24" s="151">
        <f t="shared" si="37"/>
        <v>2490024234.4893889</v>
      </c>
      <c r="I24" s="151">
        <f t="shared" si="37"/>
        <v>2564724961.5240707</v>
      </c>
      <c r="J24" s="151">
        <f t="shared" si="37"/>
        <v>2641666710.3697929</v>
      </c>
      <c r="K24" s="151">
        <f t="shared" si="37"/>
        <v>2720916711.6808867</v>
      </c>
      <c r="L24" s="151">
        <f t="shared" si="37"/>
        <v>2802544213.0313134</v>
      </c>
      <c r="M24" s="151">
        <f t="shared" si="37"/>
        <v>2886620539.4222531</v>
      </c>
    </row>
    <row r="25" spans="1:13">
      <c r="A25" s="10" t="s">
        <v>66</v>
      </c>
      <c r="B25" s="11" t="s">
        <v>67</v>
      </c>
      <c r="C25" s="151"/>
      <c r="D25" s="151"/>
      <c r="E25" s="151"/>
      <c r="F25" s="151"/>
      <c r="G25" s="151"/>
      <c r="H25" s="151"/>
      <c r="I25" s="151"/>
      <c r="J25" s="151"/>
      <c r="K25" s="151"/>
      <c r="L25" s="151"/>
      <c r="M25" s="151"/>
    </row>
    <row r="26" spans="1:13" hidden="1">
      <c r="A26" s="6" t="s">
        <v>68</v>
      </c>
      <c r="B26" s="7" t="s">
        <v>69</v>
      </c>
      <c r="C26" s="153">
        <f t="shared" ref="C26" si="38">SUM(C27:C28)</f>
        <v>0</v>
      </c>
      <c r="D26" s="153">
        <f t="shared" ref="D26" si="39">SUM(D27:D28)</f>
        <v>0</v>
      </c>
      <c r="E26" s="153">
        <f t="shared" ref="E26" si="40">SUM(E27:E28)</f>
        <v>0</v>
      </c>
      <c r="F26" s="153">
        <f t="shared" ref="F26" si="41">SUM(F27:F28)</f>
        <v>0</v>
      </c>
      <c r="G26" s="153">
        <f t="shared" ref="G26" si="42">SUM(G27:G28)</f>
        <v>0</v>
      </c>
      <c r="H26" s="153">
        <f t="shared" ref="H26" si="43">SUM(H27:H28)</f>
        <v>0</v>
      </c>
      <c r="I26" s="153">
        <f t="shared" ref="I26" si="44">SUM(I27:I28)</f>
        <v>0</v>
      </c>
      <c r="J26" s="153">
        <f t="shared" ref="J26" si="45">SUM(J27:J28)</f>
        <v>0</v>
      </c>
      <c r="K26" s="153">
        <f t="shared" ref="K26" si="46">SUM(K27:K28)</f>
        <v>0</v>
      </c>
      <c r="L26" s="153">
        <f t="shared" ref="L26" si="47">SUM(L27:L28)</f>
        <v>0</v>
      </c>
      <c r="M26" s="153">
        <f t="shared" ref="M26" si="48">SUM(M27:M28)</f>
        <v>0</v>
      </c>
    </row>
    <row r="27" spans="1:13" hidden="1">
      <c r="A27" s="10" t="s">
        <v>70</v>
      </c>
      <c r="B27" s="11" t="s">
        <v>71</v>
      </c>
      <c r="C27" s="151"/>
      <c r="D27" s="151"/>
      <c r="E27" s="151"/>
      <c r="F27" s="151"/>
      <c r="G27" s="151"/>
      <c r="H27" s="151"/>
      <c r="I27" s="151"/>
      <c r="J27" s="151"/>
      <c r="K27" s="151"/>
      <c r="L27" s="151"/>
      <c r="M27" s="151"/>
    </row>
    <row r="28" spans="1:13" hidden="1">
      <c r="A28" s="10" t="s">
        <v>72</v>
      </c>
      <c r="B28" s="11" t="s">
        <v>73</v>
      </c>
      <c r="C28" s="151"/>
      <c r="D28" s="151"/>
      <c r="E28" s="151"/>
      <c r="F28" s="151"/>
      <c r="G28" s="151"/>
      <c r="H28" s="151"/>
      <c r="I28" s="151"/>
      <c r="J28" s="151"/>
      <c r="K28" s="151"/>
      <c r="L28" s="151"/>
      <c r="M28" s="151"/>
    </row>
    <row r="29" spans="1:13" hidden="1">
      <c r="A29" s="10" t="s">
        <v>74</v>
      </c>
      <c r="B29" s="11" t="s">
        <v>75</v>
      </c>
      <c r="C29" s="151"/>
      <c r="D29" s="151"/>
      <c r="E29" s="151"/>
      <c r="F29" s="151"/>
      <c r="G29" s="151"/>
      <c r="H29" s="151"/>
      <c r="I29" s="151"/>
      <c r="J29" s="151"/>
      <c r="K29" s="151"/>
      <c r="L29" s="151"/>
      <c r="M29" s="151"/>
    </row>
    <row r="30" spans="1:13">
      <c r="A30" s="6" t="s">
        <v>76</v>
      </c>
      <c r="B30" s="7" t="s">
        <v>77</v>
      </c>
      <c r="C30" s="153">
        <f t="shared" ref="C30" si="49">C31+C46+C47</f>
        <v>139062923892</v>
      </c>
      <c r="D30" s="153">
        <f t="shared" ref="D30" si="50">D31+D46+D47</f>
        <v>143234811608.76001</v>
      </c>
      <c r="E30" s="153">
        <f t="shared" ref="E30" si="51">E31+E46+E47</f>
        <v>147531855957.02283</v>
      </c>
      <c r="F30" s="153">
        <f t="shared" ref="F30" si="52">F31+F46+F47</f>
        <v>151957811635.73349</v>
      </c>
      <c r="G30" s="153">
        <f t="shared" ref="G30" si="53">G31+G46+G47</f>
        <v>156516545984.80548</v>
      </c>
      <c r="H30" s="153">
        <f t="shared" ref="H30" si="54">H31+H46+H47</f>
        <v>161212042364.34967</v>
      </c>
      <c r="I30" s="153">
        <f t="shared" ref="I30" si="55">I31+I46+I47</f>
        <v>166048403635.28018</v>
      </c>
      <c r="J30" s="153">
        <f t="shared" ref="J30" si="56">J31+J46+J47</f>
        <v>171029855744.33859</v>
      </c>
      <c r="K30" s="153">
        <f t="shared" ref="K30" si="57">K31+K46+K47</f>
        <v>176160751416.66876</v>
      </c>
      <c r="L30" s="153">
        <f t="shared" ref="L30" si="58">L31+L46+L47</f>
        <v>181445573959.16879</v>
      </c>
      <c r="M30" s="153">
        <f t="shared" ref="M30" si="59">M31+M46+M47</f>
        <v>186888941177.94388</v>
      </c>
    </row>
    <row r="31" spans="1:13">
      <c r="A31" s="6" t="s">
        <v>78</v>
      </c>
      <c r="B31" s="7" t="s">
        <v>64</v>
      </c>
      <c r="C31" s="153">
        <f t="shared" ref="C31" si="60">C32+C44+C45</f>
        <v>134404235465</v>
      </c>
      <c r="D31" s="153">
        <f t="shared" ref="D31" si="61">D32+D44+D45</f>
        <v>138436362528.95001</v>
      </c>
      <c r="E31" s="153">
        <f t="shared" ref="E31" si="62">E32+E44+E45</f>
        <v>142589453404.81851</v>
      </c>
      <c r="F31" s="153">
        <f t="shared" ref="F31" si="63">F32+F44+F45</f>
        <v>146867137006.96307</v>
      </c>
      <c r="G31" s="153">
        <f t="shared" ref="G31" si="64">G32+G44+G45</f>
        <v>151273151117.17194</v>
      </c>
      <c r="H31" s="153">
        <f t="shared" ref="H31" si="65">H32+H44+H45</f>
        <v>155811345650.68713</v>
      </c>
      <c r="I31" s="153">
        <f t="shared" ref="I31" si="66">I32+I44+I45</f>
        <v>160485686020.20776</v>
      </c>
      <c r="J31" s="153">
        <f t="shared" ref="J31" si="67">J32+J44+J45</f>
        <v>165300256600.814</v>
      </c>
      <c r="K31" s="153">
        <f t="shared" ref="K31" si="68">K32+K44+K45</f>
        <v>170259264298.83841</v>
      </c>
      <c r="L31" s="153">
        <f t="shared" ref="L31" si="69">L32+L44+L45</f>
        <v>175367042227.80356</v>
      </c>
      <c r="M31" s="153">
        <f t="shared" ref="M31" si="70">M32+M44+M45</f>
        <v>180628053494.63766</v>
      </c>
    </row>
    <row r="32" spans="1:13">
      <c r="A32" s="6" t="s">
        <v>79</v>
      </c>
      <c r="B32" s="7" t="s">
        <v>80</v>
      </c>
      <c r="C32" s="153">
        <f>+C33+C38+C41+C42+C43</f>
        <v>102826601027</v>
      </c>
      <c r="D32" s="153">
        <f>SUM(D33+D38+D41+D42+D43)</f>
        <v>105911399057.81001</v>
      </c>
      <c r="E32" s="153">
        <f t="shared" ref="E32:M32" si="71">SUM(E33+E38+E41+E42+E43)</f>
        <v>109088741029.54431</v>
      </c>
      <c r="F32" s="153">
        <f t="shared" si="71"/>
        <v>112361403260.43065</v>
      </c>
      <c r="G32" s="153">
        <f t="shared" si="71"/>
        <v>115732245358.24355</v>
      </c>
      <c r="H32" s="153">
        <f t="shared" si="71"/>
        <v>119204212718.99088</v>
      </c>
      <c r="I32" s="153">
        <f t="shared" si="71"/>
        <v>122780339100.56061</v>
      </c>
      <c r="J32" s="153">
        <f t="shared" si="71"/>
        <v>126463749273.57742</v>
      </c>
      <c r="K32" s="153">
        <f t="shared" si="71"/>
        <v>130257661751.78476</v>
      </c>
      <c r="L32" s="153">
        <f t="shared" si="71"/>
        <v>134165391604.3383</v>
      </c>
      <c r="M32" s="153">
        <f t="shared" si="71"/>
        <v>138190353352.46844</v>
      </c>
    </row>
    <row r="33" spans="1:13">
      <c r="A33" s="10" t="s">
        <v>81</v>
      </c>
      <c r="B33" s="204" t="s">
        <v>82</v>
      </c>
      <c r="C33" s="203">
        <f>SUM(C34:C37)</f>
        <v>73188990712</v>
      </c>
      <c r="D33" s="203">
        <f>SUM(D34:D37)</f>
        <v>75384660433.360001</v>
      </c>
      <c r="E33" s="203">
        <f t="shared" ref="E33:M33" si="72">SUM(E34:E37)</f>
        <v>77646200246.360809</v>
      </c>
      <c r="F33" s="203">
        <f t="shared" si="72"/>
        <v>79975586253.751633</v>
      </c>
      <c r="G33" s="203">
        <f t="shared" si="72"/>
        <v>82374853841.364182</v>
      </c>
      <c r="H33" s="203">
        <f t="shared" si="72"/>
        <v>84846099456.605118</v>
      </c>
      <c r="I33" s="203">
        <f t="shared" si="72"/>
        <v>87391482440.303268</v>
      </c>
      <c r="J33" s="203">
        <f t="shared" si="72"/>
        <v>90013226913.512375</v>
      </c>
      <c r="K33" s="203">
        <f t="shared" si="72"/>
        <v>92713623720.917755</v>
      </c>
      <c r="L33" s="203">
        <f t="shared" si="72"/>
        <v>95495032432.545288</v>
      </c>
      <c r="M33" s="203">
        <f t="shared" si="72"/>
        <v>98359883405.521637</v>
      </c>
    </row>
    <row r="34" spans="1:13">
      <c r="A34" s="10" t="s">
        <v>553</v>
      </c>
      <c r="B34" s="11" t="s">
        <v>541</v>
      </c>
      <c r="C34" s="151">
        <v>68354762924</v>
      </c>
      <c r="D34" s="151">
        <f>SUM(C34*D2)</f>
        <v>70405405811.720001</v>
      </c>
      <c r="E34" s="151">
        <f>SUM(D34*E2)</f>
        <v>72517567986.071609</v>
      </c>
      <c r="F34" s="151">
        <f t="shared" ref="F34:M34" si="73">SUM(E34*F2)</f>
        <v>74693095025.653763</v>
      </c>
      <c r="G34" s="151">
        <f t="shared" si="73"/>
        <v>76933887876.42337</v>
      </c>
      <c r="H34" s="151">
        <f t="shared" si="73"/>
        <v>79241904512.71608</v>
      </c>
      <c r="I34" s="151">
        <f t="shared" si="73"/>
        <v>81619161648.097565</v>
      </c>
      <c r="J34" s="151">
        <f t="shared" si="73"/>
        <v>84067736497.540497</v>
      </c>
      <c r="K34" s="151">
        <f t="shared" si="73"/>
        <v>86589768592.466721</v>
      </c>
      <c r="L34" s="151">
        <f t="shared" si="73"/>
        <v>89187461650.240723</v>
      </c>
      <c r="M34" s="151">
        <f t="shared" si="73"/>
        <v>91863085499.74794</v>
      </c>
    </row>
    <row r="35" spans="1:13" hidden="1">
      <c r="A35" s="10" t="s">
        <v>554</v>
      </c>
      <c r="B35" s="11" t="s">
        <v>542</v>
      </c>
      <c r="C35" s="151"/>
      <c r="D35" s="151">
        <v>0</v>
      </c>
      <c r="E35" s="151">
        <f>SUM(D35*E2)</f>
        <v>0</v>
      </c>
      <c r="F35" s="151">
        <f t="shared" ref="F35:M35" si="74">SUM(E35*F2)</f>
        <v>0</v>
      </c>
      <c r="G35" s="151">
        <f t="shared" si="74"/>
        <v>0</v>
      </c>
      <c r="H35" s="151">
        <f t="shared" si="74"/>
        <v>0</v>
      </c>
      <c r="I35" s="151">
        <f t="shared" si="74"/>
        <v>0</v>
      </c>
      <c r="J35" s="151">
        <f t="shared" si="74"/>
        <v>0</v>
      </c>
      <c r="K35" s="151">
        <f t="shared" si="74"/>
        <v>0</v>
      </c>
      <c r="L35" s="151">
        <f t="shared" si="74"/>
        <v>0</v>
      </c>
      <c r="M35" s="151">
        <f t="shared" si="74"/>
        <v>0</v>
      </c>
    </row>
    <row r="36" spans="1:13">
      <c r="A36" s="10" t="s">
        <v>555</v>
      </c>
      <c r="B36" s="11" t="s">
        <v>500</v>
      </c>
      <c r="C36" s="151">
        <v>2842563281</v>
      </c>
      <c r="D36" s="151">
        <f>SUM(C36*D2)</f>
        <v>2927840179.4300003</v>
      </c>
      <c r="E36" s="151">
        <f>SUM(D36*E2)</f>
        <v>3015675384.8129005</v>
      </c>
      <c r="F36" s="151">
        <f t="shared" ref="F36:M36" si="75">SUM(E36*F2)</f>
        <v>3106145646.3572874</v>
      </c>
      <c r="G36" s="151">
        <f t="shared" si="75"/>
        <v>3199330015.7480063</v>
      </c>
      <c r="H36" s="151">
        <f t="shared" si="75"/>
        <v>3295309916.2204466</v>
      </c>
      <c r="I36" s="151">
        <f t="shared" si="75"/>
        <v>3394169213.7070599</v>
      </c>
      <c r="J36" s="151">
        <f t="shared" si="75"/>
        <v>3495994290.1182718</v>
      </c>
      <c r="K36" s="151">
        <f t="shared" si="75"/>
        <v>3600874118.8218203</v>
      </c>
      <c r="L36" s="151">
        <f t="shared" si="75"/>
        <v>3708900342.3864751</v>
      </c>
      <c r="M36" s="151">
        <f t="shared" si="75"/>
        <v>3820167352.6580696</v>
      </c>
    </row>
    <row r="37" spans="1:13">
      <c r="A37" s="10" t="s">
        <v>556</v>
      </c>
      <c r="B37" s="11" t="s">
        <v>545</v>
      </c>
      <c r="C37" s="151">
        <v>1991664507</v>
      </c>
      <c r="D37" s="151">
        <f>SUM(C37*D2)</f>
        <v>2051414442.21</v>
      </c>
      <c r="E37" s="151">
        <f>SUM(D37*E2)</f>
        <v>2112956875.4763</v>
      </c>
      <c r="F37" s="151">
        <f t="shared" ref="F37:M37" si="76">SUM(E37*F2)</f>
        <v>2176345581.7405891</v>
      </c>
      <c r="G37" s="151">
        <f t="shared" si="76"/>
        <v>2241635949.1928067</v>
      </c>
      <c r="H37" s="151">
        <f t="shared" si="76"/>
        <v>2308885027.668591</v>
      </c>
      <c r="I37" s="151">
        <f t="shared" si="76"/>
        <v>2378151578.4986486</v>
      </c>
      <c r="J37" s="151">
        <f t="shared" si="76"/>
        <v>2449496125.8536081</v>
      </c>
      <c r="K37" s="151">
        <f t="shared" si="76"/>
        <v>2522981009.6292167</v>
      </c>
      <c r="L37" s="151">
        <f t="shared" si="76"/>
        <v>2598670439.9180932</v>
      </c>
      <c r="M37" s="151">
        <f t="shared" si="76"/>
        <v>2676630553.1156359</v>
      </c>
    </row>
    <row r="38" spans="1:13">
      <c r="A38" s="10" t="s">
        <v>83</v>
      </c>
      <c r="B38" s="204" t="s">
        <v>84</v>
      </c>
      <c r="C38" s="203">
        <f>SUM(C39:C40)</f>
        <v>22668120508</v>
      </c>
      <c r="D38" s="203">
        <f>SUM(D39:D40)</f>
        <v>23348164123.240002</v>
      </c>
      <c r="E38" s="203">
        <f t="shared" ref="E38:M38" si="77">SUM(E39:E40)</f>
        <v>24048609046.937202</v>
      </c>
      <c r="F38" s="203">
        <f t="shared" si="77"/>
        <v>24770067318.345318</v>
      </c>
      <c r="G38" s="203">
        <f t="shared" si="77"/>
        <v>25513169337.895679</v>
      </c>
      <c r="H38" s="203">
        <f t="shared" si="77"/>
        <v>26278564418.032547</v>
      </c>
      <c r="I38" s="203">
        <f t="shared" si="77"/>
        <v>27066921350.573528</v>
      </c>
      <c r="J38" s="203">
        <f t="shared" si="77"/>
        <v>27878928991.090733</v>
      </c>
      <c r="K38" s="203">
        <f t="shared" si="77"/>
        <v>28715296860.823456</v>
      </c>
      <c r="L38" s="203">
        <f t="shared" si="77"/>
        <v>29576755766.648159</v>
      </c>
      <c r="M38" s="203">
        <f t="shared" si="77"/>
        <v>30464058439.647602</v>
      </c>
    </row>
    <row r="39" spans="1:13">
      <c r="A39" s="10" t="s">
        <v>557</v>
      </c>
      <c r="B39" s="11" t="s">
        <v>559</v>
      </c>
      <c r="C39" s="151">
        <v>21485297993</v>
      </c>
      <c r="D39" s="151">
        <f>SUM(C39*D2)</f>
        <v>22129856932.790001</v>
      </c>
      <c r="E39" s="151">
        <f>SUM(D39*E2)</f>
        <v>22793752640.773701</v>
      </c>
      <c r="F39" s="151">
        <f t="shared" ref="F39:M39" si="78">SUM(E39*F2)</f>
        <v>23477565219.996914</v>
      </c>
      <c r="G39" s="151">
        <f t="shared" si="78"/>
        <v>24181892176.596821</v>
      </c>
      <c r="H39" s="151">
        <f t="shared" si="78"/>
        <v>24907348941.894726</v>
      </c>
      <c r="I39" s="151">
        <f t="shared" si="78"/>
        <v>25654569410.151569</v>
      </c>
      <c r="J39" s="151">
        <f t="shared" si="78"/>
        <v>26424206492.456116</v>
      </c>
      <c r="K39" s="151">
        <f t="shared" si="78"/>
        <v>27216932687.229801</v>
      </c>
      <c r="L39" s="151">
        <f t="shared" si="78"/>
        <v>28033440667.846695</v>
      </c>
      <c r="M39" s="151">
        <f t="shared" si="78"/>
        <v>28874443887.882095</v>
      </c>
    </row>
    <row r="40" spans="1:13">
      <c r="A40" s="10" t="s">
        <v>558</v>
      </c>
      <c r="B40" s="11" t="s">
        <v>551</v>
      </c>
      <c r="C40" s="151">
        <v>1182822515</v>
      </c>
      <c r="D40" s="151">
        <f>SUM(C40*D2)</f>
        <v>1218307190.45</v>
      </c>
      <c r="E40" s="151">
        <f>SUM(D40*E2)</f>
        <v>1254856406.1635001</v>
      </c>
      <c r="F40" s="151">
        <f t="shared" ref="F40:M40" si="79">SUM(E40*F2)</f>
        <v>1292502098.3484051</v>
      </c>
      <c r="G40" s="151">
        <f t="shared" si="79"/>
        <v>1331277161.2988572</v>
      </c>
      <c r="H40" s="151">
        <f t="shared" si="79"/>
        <v>1371215476.1378229</v>
      </c>
      <c r="I40" s="151">
        <f t="shared" si="79"/>
        <v>1412351940.4219575</v>
      </c>
      <c r="J40" s="151">
        <f t="shared" si="79"/>
        <v>1454722498.6346161</v>
      </c>
      <c r="K40" s="151">
        <f t="shared" si="79"/>
        <v>1498364173.5936546</v>
      </c>
      <c r="L40" s="151">
        <f t="shared" si="79"/>
        <v>1543315098.8014643</v>
      </c>
      <c r="M40" s="151">
        <f t="shared" si="79"/>
        <v>1589614551.7655082</v>
      </c>
    </row>
    <row r="41" spans="1:13" ht="26.25">
      <c r="A41" s="10" t="s">
        <v>85</v>
      </c>
      <c r="B41" s="11" t="s">
        <v>86</v>
      </c>
      <c r="C41" s="151">
        <v>3610354066</v>
      </c>
      <c r="D41" s="151">
        <f>SUM(C41*D2)</f>
        <v>3718664687.98</v>
      </c>
      <c r="E41" s="151">
        <f t="shared" ref="E41:E44" si="80">SUM(D41*$E$2)</f>
        <v>3830224628.6194</v>
      </c>
      <c r="F41" s="151">
        <f t="shared" ref="F41:F46" si="81">SUM(E41*$F$2)</f>
        <v>3945131367.477982</v>
      </c>
      <c r="G41" s="151">
        <f t="shared" ref="G41:G44" si="82">SUM(F41*$G$2)</f>
        <v>4063485308.5023217</v>
      </c>
      <c r="H41" s="151">
        <f t="shared" ref="H41:H44" si="83">SUM(G41*$H$2)</f>
        <v>4185389867.7573915</v>
      </c>
      <c r="I41" s="151">
        <f t="shared" ref="I41:I44" si="84">SUM(H41*$I$2)</f>
        <v>4310951563.7901134</v>
      </c>
      <c r="J41" s="151">
        <f t="shared" ref="J41:J44" si="85">SUM(I41*$J$2)</f>
        <v>4440280110.7038174</v>
      </c>
      <c r="K41" s="151">
        <f t="shared" ref="K41:K44" si="86">SUM(J41*$K$2)</f>
        <v>4573488514.0249319</v>
      </c>
      <c r="L41" s="151">
        <f t="shared" ref="L41:L44" si="87">SUM(K41*$L$2)</f>
        <v>4710693169.4456797</v>
      </c>
      <c r="M41" s="151">
        <f t="shared" ref="M41:M44" si="88">SUM(L41*$M$2)</f>
        <v>4852013964.5290499</v>
      </c>
    </row>
    <row r="42" spans="1:13" ht="26.25">
      <c r="A42" s="10" t="s">
        <v>87</v>
      </c>
      <c r="B42" s="11" t="s">
        <v>88</v>
      </c>
      <c r="C42" s="151">
        <v>2669553708</v>
      </c>
      <c r="D42" s="151">
        <f>SUM(C42*D2)</f>
        <v>2749640319.2400002</v>
      </c>
      <c r="E42" s="151">
        <f t="shared" si="80"/>
        <v>2832129528.8172002</v>
      </c>
      <c r="F42" s="151">
        <f t="shared" si="81"/>
        <v>2917093414.6817164</v>
      </c>
      <c r="G42" s="151">
        <f t="shared" si="82"/>
        <v>3004606217.1221681</v>
      </c>
      <c r="H42" s="151">
        <f t="shared" si="83"/>
        <v>3094744403.6358333</v>
      </c>
      <c r="I42" s="151">
        <f t="shared" si="84"/>
        <v>3187586735.7449083</v>
      </c>
      <c r="J42" s="151">
        <f t="shared" si="85"/>
        <v>3283214337.8172555</v>
      </c>
      <c r="K42" s="151">
        <f t="shared" si="86"/>
        <v>3381710767.9517732</v>
      </c>
      <c r="L42" s="151">
        <f t="shared" si="87"/>
        <v>3483162090.9903264</v>
      </c>
      <c r="M42" s="151">
        <f t="shared" si="88"/>
        <v>3587656953.7200365</v>
      </c>
    </row>
    <row r="43" spans="1:13">
      <c r="A43" s="10" t="s">
        <v>89</v>
      </c>
      <c r="B43" s="11" t="s">
        <v>90</v>
      </c>
      <c r="C43" s="151">
        <v>689582033</v>
      </c>
      <c r="D43" s="151">
        <f>SUM(C43*D2)</f>
        <v>710269493.99000001</v>
      </c>
      <c r="E43" s="151">
        <f t="shared" si="80"/>
        <v>731577578.80970001</v>
      </c>
      <c r="F43" s="151">
        <f t="shared" si="81"/>
        <v>753524906.17399108</v>
      </c>
      <c r="G43" s="151">
        <f t="shared" si="82"/>
        <v>776130653.35921085</v>
      </c>
      <c r="H43" s="151">
        <f t="shared" si="83"/>
        <v>799414572.95998716</v>
      </c>
      <c r="I43" s="151">
        <f t="shared" si="84"/>
        <v>823397010.14878678</v>
      </c>
      <c r="J43" s="151">
        <f t="shared" si="85"/>
        <v>848098920.45325041</v>
      </c>
      <c r="K43" s="151">
        <f t="shared" si="86"/>
        <v>873541888.06684792</v>
      </c>
      <c r="L43" s="151">
        <f t="shared" si="87"/>
        <v>899748144.70885336</v>
      </c>
      <c r="M43" s="151">
        <f t="shared" si="88"/>
        <v>926740589.05011904</v>
      </c>
    </row>
    <row r="44" spans="1:13">
      <c r="A44" s="10" t="s">
        <v>91</v>
      </c>
      <c r="B44" s="11" t="s">
        <v>92</v>
      </c>
      <c r="C44" s="151">
        <f>18179501192+105251617+564379951</f>
        <v>18849132760</v>
      </c>
      <c r="D44" s="151">
        <f>SUM(C44*D2)</f>
        <v>19414606742.799999</v>
      </c>
      <c r="E44" s="151">
        <f t="shared" si="80"/>
        <v>19997044945.084</v>
      </c>
      <c r="F44" s="151">
        <f t="shared" si="81"/>
        <v>20596956293.43652</v>
      </c>
      <c r="G44" s="151">
        <f t="shared" si="82"/>
        <v>21214864982.239616</v>
      </c>
      <c r="H44" s="151">
        <f t="shared" si="83"/>
        <v>21851310931.706806</v>
      </c>
      <c r="I44" s="151">
        <f t="shared" si="84"/>
        <v>22506850259.658012</v>
      </c>
      <c r="J44" s="151">
        <f t="shared" si="85"/>
        <v>23182055767.447754</v>
      </c>
      <c r="K44" s="151">
        <f t="shared" si="86"/>
        <v>23877517440.471188</v>
      </c>
      <c r="L44" s="151">
        <f t="shared" si="87"/>
        <v>24593842963.685326</v>
      </c>
      <c r="M44" s="151">
        <f t="shared" si="88"/>
        <v>25331658252.595886</v>
      </c>
    </row>
    <row r="45" spans="1:13">
      <c r="A45" s="10" t="s">
        <v>93</v>
      </c>
      <c r="B45" s="11" t="s">
        <v>94</v>
      </c>
      <c r="C45" s="151">
        <f>1996922848+3747353991+6984224839</f>
        <v>12728501678</v>
      </c>
      <c r="D45" s="151">
        <f>+C45*D2</f>
        <v>13110356728.34</v>
      </c>
      <c r="E45" s="151">
        <f t="shared" ref="E45:M45" si="89">+D45*E2</f>
        <v>13503667430.190201</v>
      </c>
      <c r="F45" s="151">
        <f t="shared" si="89"/>
        <v>13908777453.095907</v>
      </c>
      <c r="G45" s="151">
        <f t="shared" si="89"/>
        <v>14326040776.688786</v>
      </c>
      <c r="H45" s="151">
        <f t="shared" si="89"/>
        <v>14755821999.989449</v>
      </c>
      <c r="I45" s="151">
        <f t="shared" si="89"/>
        <v>15198496659.989132</v>
      </c>
      <c r="J45" s="151">
        <f t="shared" si="89"/>
        <v>15654451559.788807</v>
      </c>
      <c r="K45" s="151">
        <f t="shared" si="89"/>
        <v>16124085106.582472</v>
      </c>
      <c r="L45" s="151">
        <f t="shared" si="89"/>
        <v>16607807659.779947</v>
      </c>
      <c r="M45" s="151">
        <f t="shared" si="89"/>
        <v>17106041889.573347</v>
      </c>
    </row>
    <row r="46" spans="1:13">
      <c r="A46" s="10" t="s">
        <v>95</v>
      </c>
      <c r="B46" s="12" t="s">
        <v>96</v>
      </c>
      <c r="C46" s="151"/>
      <c r="D46" s="151"/>
      <c r="E46" s="151"/>
      <c r="F46" s="151">
        <f t="shared" si="81"/>
        <v>0</v>
      </c>
      <c r="G46" s="151"/>
      <c r="H46" s="151"/>
      <c r="I46" s="151"/>
      <c r="J46" s="151"/>
      <c r="K46" s="151"/>
      <c r="L46" s="151"/>
      <c r="M46" s="151"/>
    </row>
    <row r="47" spans="1:13">
      <c r="A47" s="10" t="s">
        <v>97</v>
      </c>
      <c r="B47" s="12" t="s">
        <v>98</v>
      </c>
      <c r="C47" s="151">
        <v>4658688427</v>
      </c>
      <c r="D47" s="151">
        <f>SUM(C47*D2)</f>
        <v>4798449079.8100004</v>
      </c>
      <c r="E47" s="151">
        <f t="shared" ref="E47:M47" si="90">SUM(D47*E2)</f>
        <v>4942402552.2043009</v>
      </c>
      <c r="F47" s="151">
        <f t="shared" si="90"/>
        <v>5090674628.7704296</v>
      </c>
      <c r="G47" s="151">
        <f t="shared" si="90"/>
        <v>5243394867.633543</v>
      </c>
      <c r="H47" s="151">
        <f t="shared" si="90"/>
        <v>5400696713.662549</v>
      </c>
      <c r="I47" s="151">
        <f t="shared" si="90"/>
        <v>5562717615.0724258</v>
      </c>
      <c r="J47" s="151">
        <f t="shared" si="90"/>
        <v>5729599143.5245991</v>
      </c>
      <c r="K47" s="151">
        <f t="shared" si="90"/>
        <v>5901487117.8303375</v>
      </c>
      <c r="L47" s="151">
        <f t="shared" si="90"/>
        <v>6078531731.3652477</v>
      </c>
      <c r="M47" s="151">
        <f t="shared" si="90"/>
        <v>6260887683.3062057</v>
      </c>
    </row>
    <row r="48" spans="1:13">
      <c r="A48" s="4" t="s">
        <v>99</v>
      </c>
      <c r="B48" s="5" t="s">
        <v>100</v>
      </c>
      <c r="C48" s="154">
        <f t="shared" ref="C48:M48" si="91">C49+C101</f>
        <v>155220057508</v>
      </c>
      <c r="D48" s="154">
        <f t="shared" si="91"/>
        <v>160120324713.23999</v>
      </c>
      <c r="E48" s="154">
        <f t="shared" si="91"/>
        <v>164946134454.63724</v>
      </c>
      <c r="F48" s="154">
        <f t="shared" si="91"/>
        <v>169916718488.27634</v>
      </c>
      <c r="G48" s="154">
        <f t="shared" si="91"/>
        <v>175036420042.92462</v>
      </c>
      <c r="H48" s="154">
        <f t="shared" si="91"/>
        <v>180309712644.21234</v>
      </c>
      <c r="I48" s="154">
        <f t="shared" si="91"/>
        <v>185741204023.53876</v>
      </c>
      <c r="J48" s="154">
        <f t="shared" si="91"/>
        <v>191705640144.2449</v>
      </c>
      <c r="K48" s="154">
        <f t="shared" si="91"/>
        <v>197837909348.57227</v>
      </c>
      <c r="L48" s="154">
        <f t="shared" si="91"/>
        <v>203773046629.02942</v>
      </c>
      <c r="M48" s="154">
        <f t="shared" si="91"/>
        <v>209886238027.90033</v>
      </c>
    </row>
    <row r="49" spans="1:13">
      <c r="A49" s="6" t="s">
        <v>101</v>
      </c>
      <c r="B49" s="7" t="s">
        <v>102</v>
      </c>
      <c r="C49" s="153">
        <f>C50+C65+C68+C69+C85</f>
        <v>128172774655</v>
      </c>
      <c r="D49" s="153">
        <f t="shared" ref="D49:E49" si="92">D50+D65+D68+D69+D85</f>
        <v>131922162393.55</v>
      </c>
      <c r="E49" s="153">
        <f t="shared" si="92"/>
        <v>136385155098.26241</v>
      </c>
      <c r="F49" s="153">
        <f t="shared" ref="F49:M49" si="93">F50+F65+F68+F69+F85</f>
        <v>140385659538.0903</v>
      </c>
      <c r="G49" s="153">
        <f t="shared" si="93"/>
        <v>144508551755.103</v>
      </c>
      <c r="H49" s="153">
        <f t="shared" si="93"/>
        <v>148757503382.61612</v>
      </c>
      <c r="I49" s="153">
        <f t="shared" si="93"/>
        <v>153136296202.94455</v>
      </c>
      <c r="J49" s="153">
        <f t="shared" si="93"/>
        <v>157657063798.87292</v>
      </c>
      <c r="K49" s="153">
        <f t="shared" si="93"/>
        <v>162374896016.25912</v>
      </c>
      <c r="L49" s="153">
        <f t="shared" si="93"/>
        <v>167246142896.74692</v>
      </c>
      <c r="M49" s="153">
        <f t="shared" si="93"/>
        <v>172263527183.64929</v>
      </c>
    </row>
    <row r="50" spans="1:13">
      <c r="A50" s="6" t="s">
        <v>103</v>
      </c>
      <c r="B50" s="7" t="s">
        <v>104</v>
      </c>
      <c r="C50" s="153">
        <f t="shared" ref="C50:E50" si="94">C51+C52+C53+C61+C62+C63+C64</f>
        <v>10659800251</v>
      </c>
      <c r="D50" s="153">
        <f t="shared" si="94"/>
        <v>10979594258.529999</v>
      </c>
      <c r="E50" s="153">
        <f t="shared" si="94"/>
        <v>11308982086.2859</v>
      </c>
      <c r="F50" s="153">
        <f t="shared" ref="F50" si="95">F51+F52+F53+F61+F62+F63+F64</f>
        <v>11648251548.874477</v>
      </c>
      <c r="G50" s="153">
        <f t="shared" ref="G50" si="96">G51+G52+G53+G61+G62+G63+G64</f>
        <v>11997699095.340712</v>
      </c>
      <c r="H50" s="153">
        <f t="shared" ref="H50" si="97">H51+H52+H53+H61+H62+H63+H64</f>
        <v>12357630068.200932</v>
      </c>
      <c r="I50" s="153">
        <f t="shared" ref="I50" si="98">I51+I52+I53+I61+I62+I63+I64</f>
        <v>12728358970.24696</v>
      </c>
      <c r="J50" s="153">
        <f t="shared" ref="J50" si="99">J51+J52+J53+J61+J62+J63+J64</f>
        <v>13110209739.35437</v>
      </c>
      <c r="K50" s="153">
        <f t="shared" ref="K50" si="100">K51+K52+K53+K61+K62+K63+K64</f>
        <v>13503516031.535004</v>
      </c>
      <c r="L50" s="153">
        <f t="shared" ref="L50" si="101">L51+L52+L53+L61+L62+L63+L64</f>
        <v>13908621512.481052</v>
      </c>
      <c r="M50" s="153">
        <f t="shared" ref="M50" si="102">M51+M52+M53+M61+M62+M63+M64</f>
        <v>14325880157.855484</v>
      </c>
    </row>
    <row r="51" spans="1:13">
      <c r="A51" s="10" t="s">
        <v>105</v>
      </c>
      <c r="B51" s="11" t="s">
        <v>106</v>
      </c>
      <c r="C51" s="151">
        <v>6789725665</v>
      </c>
      <c r="D51" s="151">
        <f>SUM(C51*D2)</f>
        <v>6993417434.9499998</v>
      </c>
      <c r="E51" s="151">
        <f>SUM(D51*E2)</f>
        <v>7203219957.9984999</v>
      </c>
      <c r="F51" s="151">
        <f t="shared" ref="F51:M51" si="103">SUM(E51*F2)</f>
        <v>7419316556.7384548</v>
      </c>
      <c r="G51" s="151">
        <f t="shared" si="103"/>
        <v>7641896053.440609</v>
      </c>
      <c r="H51" s="151">
        <f t="shared" si="103"/>
        <v>7871152935.0438271</v>
      </c>
      <c r="I51" s="151">
        <f t="shared" si="103"/>
        <v>8107287523.0951424</v>
      </c>
      <c r="J51" s="151">
        <f t="shared" si="103"/>
        <v>8350506148.7879972</v>
      </c>
      <c r="K51" s="151">
        <f t="shared" si="103"/>
        <v>8601021333.2516365</v>
      </c>
      <c r="L51" s="151">
        <f t="shared" si="103"/>
        <v>8859051973.2491856</v>
      </c>
      <c r="M51" s="151">
        <f t="shared" si="103"/>
        <v>9124823532.446661</v>
      </c>
    </row>
    <row r="52" spans="1:13">
      <c r="A52" s="10" t="s">
        <v>107</v>
      </c>
      <c r="B52" s="11" t="s">
        <v>108</v>
      </c>
      <c r="C52" s="151">
        <v>1396636934</v>
      </c>
      <c r="D52" s="151">
        <f>+C52*D2</f>
        <v>1438536042.02</v>
      </c>
      <c r="E52" s="151">
        <f>SUM(D52*E2)</f>
        <v>1481692123.2806001</v>
      </c>
      <c r="F52" s="151">
        <f t="shared" ref="F52:M52" si="104">SUM(E52*F2)</f>
        <v>1526142886.9790182</v>
      </c>
      <c r="G52" s="151">
        <f t="shared" si="104"/>
        <v>1571927173.5883887</v>
      </c>
      <c r="H52" s="151">
        <f t="shared" si="104"/>
        <v>1619084988.7960403</v>
      </c>
      <c r="I52" s="151">
        <f t="shared" si="104"/>
        <v>1667657538.4599216</v>
      </c>
      <c r="J52" s="151">
        <f t="shared" si="104"/>
        <v>1717687264.6137192</v>
      </c>
      <c r="K52" s="151">
        <f t="shared" si="104"/>
        <v>1769217882.5521309</v>
      </c>
      <c r="L52" s="151">
        <f t="shared" si="104"/>
        <v>1822294419.0286949</v>
      </c>
      <c r="M52" s="151">
        <f t="shared" si="104"/>
        <v>1876963251.5995557</v>
      </c>
    </row>
    <row r="53" spans="1:13">
      <c r="A53" s="6" t="s">
        <v>109</v>
      </c>
      <c r="B53" s="7" t="s">
        <v>110</v>
      </c>
      <c r="C53" s="153">
        <f t="shared" ref="C53:D53" si="105">SUM(C54:C60)</f>
        <v>2473437652</v>
      </c>
      <c r="D53" s="153">
        <f t="shared" si="105"/>
        <v>2547640781.5599999</v>
      </c>
      <c r="E53" s="153">
        <f t="shared" ref="E53" si="106">SUM(E54:E60)</f>
        <v>2624070005.0068002</v>
      </c>
      <c r="F53" s="153">
        <f t="shared" ref="F53" si="107">SUM(F54:F60)</f>
        <v>2702792105.1570044</v>
      </c>
      <c r="G53" s="153">
        <f t="shared" ref="G53" si="108">SUM(G54:G60)</f>
        <v>2783875868.3117146</v>
      </c>
      <c r="H53" s="153">
        <f t="shared" ref="H53" si="109">SUM(H54:H60)</f>
        <v>2867392144.3610659</v>
      </c>
      <c r="I53" s="153">
        <f t="shared" ref="I53" si="110">SUM(I54:I60)</f>
        <v>2953413908.6918974</v>
      </c>
      <c r="J53" s="153">
        <f t="shared" ref="J53" si="111">SUM(J54:J60)</f>
        <v>3042016325.9526548</v>
      </c>
      <c r="K53" s="153">
        <f t="shared" ref="K53" si="112">SUM(K54:K60)</f>
        <v>3133276815.7312346</v>
      </c>
      <c r="L53" s="153">
        <f t="shared" ref="L53" si="113">SUM(L54:L60)</f>
        <v>3227275120.2031722</v>
      </c>
      <c r="M53" s="153">
        <f t="shared" ref="M53" si="114">SUM(M54:M60)</f>
        <v>3324093373.809267</v>
      </c>
    </row>
    <row r="54" spans="1:13">
      <c r="A54" s="10" t="s">
        <v>111</v>
      </c>
      <c r="B54" s="12" t="s">
        <v>112</v>
      </c>
      <c r="C54" s="151">
        <v>1840830557</v>
      </c>
      <c r="D54" s="151">
        <f>SUM(C54*D2)</f>
        <v>1896055473.71</v>
      </c>
      <c r="E54" s="151">
        <f>SUM(D54*E2)</f>
        <v>1952937137.9213002</v>
      </c>
      <c r="F54" s="151">
        <f t="shared" ref="F54:M54" si="115">SUM(E54*F2)</f>
        <v>2011525252.0589392</v>
      </c>
      <c r="G54" s="151">
        <f t="shared" si="115"/>
        <v>2071871009.6207075</v>
      </c>
      <c r="H54" s="151">
        <f t="shared" si="115"/>
        <v>2134027139.9093287</v>
      </c>
      <c r="I54" s="151">
        <f t="shared" si="115"/>
        <v>2198047954.1066084</v>
      </c>
      <c r="J54" s="151">
        <f t="shared" si="115"/>
        <v>2263989392.7298069</v>
      </c>
      <c r="K54" s="151">
        <f t="shared" si="115"/>
        <v>2331909074.5117011</v>
      </c>
      <c r="L54" s="151">
        <f t="shared" si="115"/>
        <v>2401866346.7470522</v>
      </c>
      <c r="M54" s="151">
        <f t="shared" si="115"/>
        <v>2473922337.1494637</v>
      </c>
    </row>
    <row r="55" spans="1:13" hidden="1">
      <c r="A55" s="10" t="s">
        <v>113</v>
      </c>
      <c r="B55" s="12" t="s">
        <v>114</v>
      </c>
      <c r="C55" s="151"/>
      <c r="D55" s="151"/>
      <c r="E55" s="151"/>
      <c r="F55" s="151"/>
      <c r="G55" s="151"/>
      <c r="H55" s="151"/>
      <c r="I55" s="151"/>
      <c r="J55" s="151"/>
      <c r="K55" s="151"/>
      <c r="L55" s="151"/>
      <c r="M55" s="151"/>
    </row>
    <row r="56" spans="1:13" hidden="1">
      <c r="A56" s="10" t="s">
        <v>115</v>
      </c>
      <c r="B56" s="12" t="s">
        <v>116</v>
      </c>
      <c r="C56" s="151"/>
      <c r="D56" s="151"/>
      <c r="E56" s="151"/>
      <c r="F56" s="151"/>
      <c r="G56" s="151"/>
      <c r="H56" s="151"/>
      <c r="I56" s="151"/>
      <c r="J56" s="151"/>
      <c r="K56" s="151"/>
      <c r="L56" s="151"/>
      <c r="M56" s="151"/>
    </row>
    <row r="57" spans="1:13">
      <c r="A57" s="10" t="s">
        <v>117</v>
      </c>
      <c r="B57" s="12" t="s">
        <v>118</v>
      </c>
      <c r="C57" s="151">
        <v>607428937</v>
      </c>
      <c r="D57" s="151">
        <f>SUM(C57*D2)</f>
        <v>625651805.11000001</v>
      </c>
      <c r="E57" s="151">
        <f>SUM(D57*E2)</f>
        <v>644421359.26330006</v>
      </c>
      <c r="F57" s="151">
        <f t="shared" ref="F57:M57" si="116">SUM(E57*F2)</f>
        <v>663754000.04119909</v>
      </c>
      <c r="G57" s="151">
        <f t="shared" si="116"/>
        <v>683666620.04243505</v>
      </c>
      <c r="H57" s="151">
        <f t="shared" si="116"/>
        <v>704176618.64370811</v>
      </c>
      <c r="I57" s="151">
        <f t="shared" si="116"/>
        <v>725301917.20301938</v>
      </c>
      <c r="J57" s="151">
        <f t="shared" si="116"/>
        <v>747060974.71911001</v>
      </c>
      <c r="K57" s="151">
        <f t="shared" si="116"/>
        <v>769472803.96068335</v>
      </c>
      <c r="L57" s="151">
        <f t="shared" si="116"/>
        <v>792556988.07950389</v>
      </c>
      <c r="M57" s="151">
        <f t="shared" si="116"/>
        <v>816333697.72188902</v>
      </c>
    </row>
    <row r="58" spans="1:13" hidden="1">
      <c r="A58" s="10" t="s">
        <v>119</v>
      </c>
      <c r="B58" s="12" t="s">
        <v>120</v>
      </c>
      <c r="C58" s="151"/>
      <c r="D58" s="151"/>
      <c r="E58" s="151"/>
      <c r="F58" s="151"/>
      <c r="G58" s="151"/>
      <c r="H58" s="151"/>
      <c r="I58" s="151"/>
      <c r="J58" s="151"/>
      <c r="K58" s="151"/>
      <c r="L58" s="151"/>
      <c r="M58" s="151"/>
    </row>
    <row r="59" spans="1:13" hidden="1">
      <c r="A59" s="10" t="s">
        <v>121</v>
      </c>
      <c r="B59" s="12" t="s">
        <v>122</v>
      </c>
      <c r="C59" s="151">
        <v>0</v>
      </c>
      <c r="D59" s="151">
        <v>0</v>
      </c>
      <c r="E59" s="151"/>
      <c r="F59" s="151"/>
      <c r="G59" s="151"/>
      <c r="H59" s="151"/>
      <c r="I59" s="151"/>
      <c r="J59" s="151"/>
      <c r="K59" s="151"/>
      <c r="L59" s="151"/>
      <c r="M59" s="151"/>
    </row>
    <row r="60" spans="1:13">
      <c r="A60" s="10" t="s">
        <v>123</v>
      </c>
      <c r="B60" s="12" t="s">
        <v>124</v>
      </c>
      <c r="C60" s="151">
        <f>+'[1]Presupuesto 2.018'!$AA$80+'[1]Presupuesto 2.018'!$AA$81</f>
        <v>25178158</v>
      </c>
      <c r="D60" s="151">
        <f>+C60*D2</f>
        <v>25933502.740000002</v>
      </c>
      <c r="E60" s="151">
        <f>SUM(D60*E2)</f>
        <v>26711507.822200004</v>
      </c>
      <c r="F60" s="151">
        <f t="shared" ref="F60:M60" si="117">SUM(E60*F2)</f>
        <v>27512853.056866005</v>
      </c>
      <c r="G60" s="151">
        <f t="shared" si="117"/>
        <v>28338238.648571987</v>
      </c>
      <c r="H60" s="151">
        <f t="shared" si="117"/>
        <v>29188385.808029149</v>
      </c>
      <c r="I60" s="151">
        <f t="shared" si="117"/>
        <v>30064037.382270023</v>
      </c>
      <c r="J60" s="151">
        <f t="shared" si="117"/>
        <v>30965958.503738124</v>
      </c>
      <c r="K60" s="151">
        <f t="shared" si="117"/>
        <v>31894937.258850269</v>
      </c>
      <c r="L60" s="151">
        <f t="shared" si="117"/>
        <v>32851785.376615778</v>
      </c>
      <c r="M60" s="151">
        <f t="shared" si="117"/>
        <v>33837338.937914252</v>
      </c>
    </row>
    <row r="61" spans="1:13" hidden="1">
      <c r="A61" s="10" t="s">
        <v>125</v>
      </c>
      <c r="B61" s="11" t="s">
        <v>126</v>
      </c>
      <c r="C61" s="151"/>
      <c r="D61" s="151"/>
      <c r="E61" s="151"/>
      <c r="F61" s="151"/>
      <c r="G61" s="151"/>
      <c r="H61" s="151"/>
      <c r="I61" s="151"/>
      <c r="J61" s="151"/>
      <c r="K61" s="151"/>
      <c r="L61" s="151"/>
      <c r="M61" s="151"/>
    </row>
    <row r="62" spans="1:13" hidden="1">
      <c r="A62" s="10" t="s">
        <v>127</v>
      </c>
      <c r="B62" s="11" t="s">
        <v>128</v>
      </c>
      <c r="C62" s="151"/>
      <c r="D62" s="151"/>
      <c r="E62" s="151"/>
      <c r="F62" s="151"/>
      <c r="G62" s="151"/>
      <c r="H62" s="151"/>
      <c r="I62" s="151"/>
      <c r="J62" s="151"/>
      <c r="K62" s="151"/>
      <c r="L62" s="151"/>
      <c r="M62" s="151"/>
    </row>
    <row r="63" spans="1:13" hidden="1">
      <c r="A63" s="10" t="s">
        <v>129</v>
      </c>
      <c r="B63" s="11" t="s">
        <v>130</v>
      </c>
      <c r="C63" s="151"/>
      <c r="D63" s="151"/>
      <c r="E63" s="151"/>
      <c r="F63" s="151"/>
      <c r="G63" s="151"/>
      <c r="H63" s="151"/>
      <c r="I63" s="151"/>
      <c r="J63" s="151"/>
      <c r="K63" s="151"/>
      <c r="L63" s="151"/>
      <c r="M63" s="151"/>
    </row>
    <row r="64" spans="1:13" hidden="1">
      <c r="A64" s="10" t="s">
        <v>131</v>
      </c>
      <c r="B64" s="11" t="s">
        <v>132</v>
      </c>
      <c r="C64" s="151"/>
      <c r="D64" s="151"/>
      <c r="E64" s="151"/>
      <c r="F64" s="151"/>
      <c r="G64" s="151"/>
      <c r="H64" s="151"/>
      <c r="I64" s="151"/>
      <c r="J64" s="151"/>
      <c r="K64" s="151"/>
      <c r="L64" s="151"/>
      <c r="M64" s="151"/>
    </row>
    <row r="65" spans="1:13" ht="26.25">
      <c r="A65" s="6" t="s">
        <v>133</v>
      </c>
      <c r="B65" s="7" t="s">
        <v>134</v>
      </c>
      <c r="C65" s="153">
        <f t="shared" ref="C65" si="118">C66+C67</f>
        <v>0</v>
      </c>
      <c r="D65" s="153">
        <f t="shared" ref="D65" si="119">D66+D67</f>
        <v>0</v>
      </c>
      <c r="E65" s="153">
        <f t="shared" ref="E65" si="120">E66+E67</f>
        <v>0</v>
      </c>
      <c r="F65" s="153">
        <f t="shared" ref="F65" si="121">F66+F67</f>
        <v>0</v>
      </c>
      <c r="G65" s="153">
        <f t="shared" ref="G65" si="122">G66+G67</f>
        <v>0</v>
      </c>
      <c r="H65" s="153">
        <f t="shared" ref="H65" si="123">H66+H67</f>
        <v>0</v>
      </c>
      <c r="I65" s="153">
        <f t="shared" ref="I65" si="124">I66+I67</f>
        <v>0</v>
      </c>
      <c r="J65" s="153">
        <f t="shared" ref="J65" si="125">J66+J67</f>
        <v>0</v>
      </c>
      <c r="K65" s="153">
        <f t="shared" ref="K65" si="126">K66+K67</f>
        <v>0</v>
      </c>
      <c r="L65" s="153">
        <f t="shared" ref="L65" si="127">L66+L67</f>
        <v>0</v>
      </c>
      <c r="M65" s="153">
        <f t="shared" ref="M65" si="128">M66+M67</f>
        <v>0</v>
      </c>
    </row>
    <row r="66" spans="1:13" ht="26.25" hidden="1">
      <c r="A66" s="15" t="s">
        <v>135</v>
      </c>
      <c r="B66" s="16" t="s">
        <v>136</v>
      </c>
      <c r="C66" s="151"/>
      <c r="D66" s="151"/>
      <c r="E66" s="151"/>
      <c r="F66" s="151"/>
      <c r="G66" s="151"/>
      <c r="H66" s="151"/>
      <c r="I66" s="151"/>
      <c r="J66" s="151"/>
      <c r="K66" s="151"/>
      <c r="L66" s="151"/>
      <c r="M66" s="151"/>
    </row>
    <row r="67" spans="1:13" ht="26.25" hidden="1">
      <c r="A67" s="15" t="s">
        <v>137</v>
      </c>
      <c r="B67" s="16" t="s">
        <v>138</v>
      </c>
      <c r="C67" s="151"/>
      <c r="D67" s="151"/>
      <c r="E67" s="151"/>
      <c r="F67" s="151"/>
      <c r="G67" s="151"/>
      <c r="H67" s="151"/>
      <c r="I67" s="151"/>
      <c r="J67" s="151"/>
      <c r="K67" s="151"/>
      <c r="L67" s="151"/>
      <c r="M67" s="151"/>
    </row>
    <row r="68" spans="1:13" ht="26.25" hidden="1">
      <c r="A68" s="13" t="s">
        <v>139</v>
      </c>
      <c r="B68" s="14" t="s">
        <v>140</v>
      </c>
      <c r="C68" s="151"/>
      <c r="D68" s="151"/>
      <c r="E68" s="151"/>
      <c r="F68" s="151"/>
      <c r="G68" s="151"/>
      <c r="H68" s="151"/>
      <c r="I68" s="151"/>
      <c r="J68" s="151"/>
      <c r="K68" s="151"/>
      <c r="L68" s="151"/>
      <c r="M68" s="151"/>
    </row>
    <row r="69" spans="1:13" ht="25.5" customHeight="1">
      <c r="A69" s="6" t="s">
        <v>141</v>
      </c>
      <c r="B69" s="7" t="s">
        <v>142</v>
      </c>
      <c r="C69" s="153">
        <f t="shared" ref="C69:M69" si="129">SUM(C70+C74+C81+C83)</f>
        <v>116956062134</v>
      </c>
      <c r="D69" s="153">
        <f t="shared" si="129"/>
        <v>120464743998.02</v>
      </c>
      <c r="E69" s="153">
        <f t="shared" si="129"/>
        <v>124677437007.9765</v>
      </c>
      <c r="F69" s="153">
        <f t="shared" si="129"/>
        <v>128417760118.21582</v>
      </c>
      <c r="G69" s="153">
        <f t="shared" si="129"/>
        <v>132270292921.76228</v>
      </c>
      <c r="H69" s="153">
        <f t="shared" si="129"/>
        <v>136238401709.41518</v>
      </c>
      <c r="I69" s="153">
        <f t="shared" si="129"/>
        <v>140325553760.6976</v>
      </c>
      <c r="J69" s="153">
        <f t="shared" si="129"/>
        <v>144535320373.51855</v>
      </c>
      <c r="K69" s="153">
        <f t="shared" si="129"/>
        <v>148871379984.72412</v>
      </c>
      <c r="L69" s="153">
        <f t="shared" si="129"/>
        <v>153337521384.26587</v>
      </c>
      <c r="M69" s="153">
        <f t="shared" si="129"/>
        <v>157937647025.79382</v>
      </c>
    </row>
    <row r="70" spans="1:13">
      <c r="A70" s="10" t="s">
        <v>143</v>
      </c>
      <c r="B70" s="204" t="s">
        <v>144</v>
      </c>
      <c r="C70" s="203">
        <f>SUM(C71:C73)</f>
        <v>68354762924</v>
      </c>
      <c r="D70" s="203">
        <f>SUM(D71:D73)</f>
        <v>70405405811.720001</v>
      </c>
      <c r="E70" s="203">
        <f t="shared" ref="E70:M70" si="130">SUM(E71:E73)</f>
        <v>72517567986.071609</v>
      </c>
      <c r="F70" s="203">
        <f t="shared" si="130"/>
        <v>74693095025.653763</v>
      </c>
      <c r="G70" s="203">
        <f t="shared" si="130"/>
        <v>76933887876.42337</v>
      </c>
      <c r="H70" s="203">
        <f t="shared" si="130"/>
        <v>79241904512.71608</v>
      </c>
      <c r="I70" s="203">
        <f t="shared" si="130"/>
        <v>81619161648.097565</v>
      </c>
      <c r="J70" s="203">
        <f t="shared" si="130"/>
        <v>84067736497.540497</v>
      </c>
      <c r="K70" s="203">
        <f t="shared" si="130"/>
        <v>86589768592.466721</v>
      </c>
      <c r="L70" s="203">
        <f t="shared" si="130"/>
        <v>89187461650.240723</v>
      </c>
      <c r="M70" s="203">
        <f t="shared" si="130"/>
        <v>91863085499.74794</v>
      </c>
    </row>
    <row r="71" spans="1:13" hidden="1">
      <c r="A71" s="10"/>
      <c r="B71" s="11" t="s">
        <v>540</v>
      </c>
      <c r="C71" s="151"/>
      <c r="D71" s="151">
        <v>0</v>
      </c>
      <c r="E71" s="151">
        <f>SUM(D71*E2)</f>
        <v>0</v>
      </c>
      <c r="F71" s="151">
        <f t="shared" ref="F71:M71" si="131">SUM(E71*F2)</f>
        <v>0</v>
      </c>
      <c r="G71" s="151">
        <f t="shared" si="131"/>
        <v>0</v>
      </c>
      <c r="H71" s="151">
        <f t="shared" si="131"/>
        <v>0</v>
      </c>
      <c r="I71" s="151">
        <f t="shared" si="131"/>
        <v>0</v>
      </c>
      <c r="J71" s="151">
        <f t="shared" si="131"/>
        <v>0</v>
      </c>
      <c r="K71" s="151">
        <f t="shared" si="131"/>
        <v>0</v>
      </c>
      <c r="L71" s="151">
        <f t="shared" si="131"/>
        <v>0</v>
      </c>
      <c r="M71" s="151">
        <f t="shared" si="131"/>
        <v>0</v>
      </c>
    </row>
    <row r="72" spans="1:13">
      <c r="A72" s="10"/>
      <c r="B72" s="11" t="s">
        <v>541</v>
      </c>
      <c r="C72" s="151">
        <v>68354762924</v>
      </c>
      <c r="D72" s="151">
        <f>SUM(C72*D2)</f>
        <v>70405405811.720001</v>
      </c>
      <c r="E72" s="151">
        <f>SUM(D72*E2)</f>
        <v>72517567986.071609</v>
      </c>
      <c r="F72" s="151">
        <f t="shared" ref="F72:M72" si="132">SUM(E72*F2)</f>
        <v>74693095025.653763</v>
      </c>
      <c r="G72" s="151">
        <f t="shared" si="132"/>
        <v>76933887876.42337</v>
      </c>
      <c r="H72" s="151">
        <f t="shared" si="132"/>
        <v>79241904512.71608</v>
      </c>
      <c r="I72" s="151">
        <f t="shared" si="132"/>
        <v>81619161648.097565</v>
      </c>
      <c r="J72" s="151">
        <f t="shared" si="132"/>
        <v>84067736497.540497</v>
      </c>
      <c r="K72" s="151">
        <f t="shared" si="132"/>
        <v>86589768592.466721</v>
      </c>
      <c r="L72" s="151">
        <f t="shared" si="132"/>
        <v>89187461650.240723</v>
      </c>
      <c r="M72" s="151">
        <f t="shared" si="132"/>
        <v>91863085499.74794</v>
      </c>
    </row>
    <row r="73" spans="1:13" hidden="1">
      <c r="A73" s="10"/>
      <c r="B73" s="11" t="s">
        <v>542</v>
      </c>
      <c r="C73" s="151">
        <v>0</v>
      </c>
      <c r="D73" s="151">
        <v>0</v>
      </c>
      <c r="E73" s="151">
        <f>SUM(D73*E2)</f>
        <v>0</v>
      </c>
      <c r="F73" s="151">
        <f t="shared" ref="F73:M73" si="133">SUM(E73*F2)</f>
        <v>0</v>
      </c>
      <c r="G73" s="151">
        <f t="shared" si="133"/>
        <v>0</v>
      </c>
      <c r="H73" s="151">
        <f t="shared" si="133"/>
        <v>0</v>
      </c>
      <c r="I73" s="151">
        <f t="shared" si="133"/>
        <v>0</v>
      </c>
      <c r="J73" s="151">
        <f t="shared" si="133"/>
        <v>0</v>
      </c>
      <c r="K73" s="151">
        <f t="shared" si="133"/>
        <v>0</v>
      </c>
      <c r="L73" s="151">
        <f t="shared" si="133"/>
        <v>0</v>
      </c>
      <c r="M73" s="151">
        <f t="shared" si="133"/>
        <v>0</v>
      </c>
    </row>
    <row r="74" spans="1:13">
      <c r="A74" s="10" t="s">
        <v>145</v>
      </c>
      <c r="B74" s="204" t="s">
        <v>146</v>
      </c>
      <c r="C74" s="203">
        <f>SUM(C75:C80)</f>
        <v>44993119180</v>
      </c>
      <c r="D74" s="203">
        <f t="shared" ref="D74:M74" si="134">SUM(D75:D80)</f>
        <v>46342912755.400002</v>
      </c>
      <c r="E74" s="203">
        <f t="shared" si="134"/>
        <v>48331950828.077904</v>
      </c>
      <c r="F74" s="203">
        <f t="shared" si="134"/>
        <v>49781909352.920235</v>
      </c>
      <c r="G74" s="203">
        <f t="shared" si="134"/>
        <v>51275366633.507851</v>
      </c>
      <c r="H74" s="203">
        <f t="shared" si="134"/>
        <v>52813627632.513092</v>
      </c>
      <c r="I74" s="203">
        <f t="shared" si="134"/>
        <v>54398036461.48848</v>
      </c>
      <c r="J74" s="203">
        <f t="shared" si="134"/>
        <v>56029977555.333138</v>
      </c>
      <c r="K74" s="203">
        <f t="shared" si="134"/>
        <v>57710876881.993126</v>
      </c>
      <c r="L74" s="203">
        <f t="shared" si="134"/>
        <v>59442203188.452934</v>
      </c>
      <c r="M74" s="203">
        <f t="shared" si="134"/>
        <v>61225469284.106522</v>
      </c>
    </row>
    <row r="75" spans="1:13">
      <c r="A75" s="10"/>
      <c r="B75" s="11" t="s">
        <v>517</v>
      </c>
      <c r="C75" s="151">
        <v>21485297993</v>
      </c>
      <c r="D75" s="151">
        <f>SUM(C75*D2)</f>
        <v>22129856932.790001</v>
      </c>
      <c r="E75" s="151">
        <f t="shared" ref="E75:M75" si="135">SUM(E38-E113)</f>
        <v>22682091200.298401</v>
      </c>
      <c r="F75" s="151">
        <f t="shared" si="135"/>
        <v>23362553936.307354</v>
      </c>
      <c r="G75" s="151">
        <f t="shared" si="135"/>
        <v>24063430554.396576</v>
      </c>
      <c r="H75" s="151">
        <f t="shared" si="135"/>
        <v>24785333471.028473</v>
      </c>
      <c r="I75" s="151">
        <f t="shared" si="135"/>
        <v>25528893475.159328</v>
      </c>
      <c r="J75" s="151">
        <f t="shared" si="135"/>
        <v>26294760279.414108</v>
      </c>
      <c r="K75" s="151">
        <f t="shared" si="135"/>
        <v>27083603087.796532</v>
      </c>
      <c r="L75" s="151">
        <f t="shared" si="135"/>
        <v>27896111180.430428</v>
      </c>
      <c r="M75" s="151">
        <f t="shared" si="135"/>
        <v>28732994515.843338</v>
      </c>
    </row>
    <row r="76" spans="1:13">
      <c r="A76" s="10"/>
      <c r="B76" s="11" t="s">
        <v>518</v>
      </c>
      <c r="C76" s="151">
        <v>18179501192</v>
      </c>
      <c r="D76" s="151">
        <f>+C76*D2</f>
        <v>18724886227.760002</v>
      </c>
      <c r="E76" s="151">
        <f t="shared" ref="E76:M76" si="136">SUM(E44)</f>
        <v>19997044945.084</v>
      </c>
      <c r="F76" s="151">
        <f t="shared" si="136"/>
        <v>20596956293.43652</v>
      </c>
      <c r="G76" s="151">
        <f t="shared" si="136"/>
        <v>21214864982.239616</v>
      </c>
      <c r="H76" s="151">
        <f t="shared" si="136"/>
        <v>21851310931.706806</v>
      </c>
      <c r="I76" s="151">
        <f t="shared" si="136"/>
        <v>22506850259.658012</v>
      </c>
      <c r="J76" s="151">
        <f t="shared" si="136"/>
        <v>23182055767.447754</v>
      </c>
      <c r="K76" s="151">
        <f t="shared" si="136"/>
        <v>23877517440.471188</v>
      </c>
      <c r="L76" s="151">
        <f t="shared" si="136"/>
        <v>24593842963.685326</v>
      </c>
      <c r="M76" s="151">
        <f t="shared" si="136"/>
        <v>25331658252.595886</v>
      </c>
    </row>
    <row r="77" spans="1:13">
      <c r="A77" s="10"/>
      <c r="B77" s="11" t="s">
        <v>578</v>
      </c>
      <c r="C77" s="151">
        <v>4371382369</v>
      </c>
      <c r="D77" s="151">
        <f>+C77*D2</f>
        <v>4502523840.0699997</v>
      </c>
      <c r="E77" s="151">
        <f>SUM(D77*E2)</f>
        <v>4637599555.2720995</v>
      </c>
      <c r="F77" s="151">
        <f t="shared" ref="F77:M77" si="137">SUM(E77*F2)</f>
        <v>4776727541.9302626</v>
      </c>
      <c r="G77" s="151">
        <f t="shared" si="137"/>
        <v>4920029368.1881704</v>
      </c>
      <c r="H77" s="151">
        <f t="shared" si="137"/>
        <v>5067630249.2338161</v>
      </c>
      <c r="I77" s="151">
        <f t="shared" si="137"/>
        <v>5219659156.7108307</v>
      </c>
      <c r="J77" s="151">
        <f t="shared" si="137"/>
        <v>5376248931.4121561</v>
      </c>
      <c r="K77" s="151">
        <f t="shared" si="137"/>
        <v>5537536399.3545208</v>
      </c>
      <c r="L77" s="151">
        <f t="shared" si="137"/>
        <v>5703662491.3351564</v>
      </c>
      <c r="M77" s="151">
        <f t="shared" si="137"/>
        <v>5874772366.0752115</v>
      </c>
    </row>
    <row r="78" spans="1:13">
      <c r="A78" s="10"/>
      <c r="B78" s="11" t="s">
        <v>579</v>
      </c>
      <c r="C78" s="151">
        <v>564379951</v>
      </c>
      <c r="D78" s="151">
        <f>+C78*D2</f>
        <v>581311349.52999997</v>
      </c>
      <c r="E78" s="151">
        <f t="shared" ref="E78:M78" si="138">SUM(D78*E2)</f>
        <v>598750690.01590002</v>
      </c>
      <c r="F78" s="151">
        <f t="shared" si="138"/>
        <v>616713210.71637702</v>
      </c>
      <c r="G78" s="151">
        <f t="shared" si="138"/>
        <v>635214607.03786838</v>
      </c>
      <c r="H78" s="151">
        <f t="shared" si="138"/>
        <v>654271045.24900448</v>
      </c>
      <c r="I78" s="151">
        <f t="shared" si="138"/>
        <v>673899176.60647464</v>
      </c>
      <c r="J78" s="151">
        <f t="shared" si="138"/>
        <v>694116151.90466893</v>
      </c>
      <c r="K78" s="151">
        <f t="shared" si="138"/>
        <v>714939636.46180904</v>
      </c>
      <c r="L78" s="151">
        <f t="shared" si="138"/>
        <v>736387825.55566335</v>
      </c>
      <c r="M78" s="151">
        <f t="shared" si="138"/>
        <v>758479460.32233322</v>
      </c>
    </row>
    <row r="79" spans="1:13">
      <c r="A79" s="10"/>
      <c r="B79" s="11" t="s">
        <v>580</v>
      </c>
      <c r="C79" s="151">
        <v>287306058</v>
      </c>
      <c r="D79" s="151">
        <f>+C79*D2</f>
        <v>295925239.74000001</v>
      </c>
      <c r="E79" s="151">
        <f t="shared" ref="E79:M79" si="139">SUM(D79*E2)</f>
        <v>304802996.93220001</v>
      </c>
      <c r="F79" s="151">
        <f t="shared" si="139"/>
        <v>313947086.84016603</v>
      </c>
      <c r="G79" s="151">
        <f t="shared" si="139"/>
        <v>323365499.44537103</v>
      </c>
      <c r="H79" s="151">
        <f t="shared" si="139"/>
        <v>333066464.42873216</v>
      </c>
      <c r="I79" s="151">
        <f t="shared" si="139"/>
        <v>343058458.36159414</v>
      </c>
      <c r="J79" s="151">
        <f t="shared" si="139"/>
        <v>353350212.11244196</v>
      </c>
      <c r="K79" s="151">
        <f t="shared" si="139"/>
        <v>363950718.47581524</v>
      </c>
      <c r="L79" s="151">
        <f t="shared" si="139"/>
        <v>374869240.03008968</v>
      </c>
      <c r="M79" s="151">
        <f t="shared" si="139"/>
        <v>386115317.23099238</v>
      </c>
    </row>
    <row r="80" spans="1:13">
      <c r="A80" s="10"/>
      <c r="B80" s="11" t="s">
        <v>522</v>
      </c>
      <c r="C80" s="151">
        <v>105251617</v>
      </c>
      <c r="D80" s="151">
        <f>SUM(C80*D2)</f>
        <v>108409165.51000001</v>
      </c>
      <c r="E80" s="151">
        <f t="shared" ref="E80:M80" si="140">SUM(D80*E2)</f>
        <v>111661440.47530001</v>
      </c>
      <c r="F80" s="151">
        <f t="shared" si="140"/>
        <v>115011283.68955901</v>
      </c>
      <c r="G80" s="151">
        <f t="shared" si="140"/>
        <v>118461622.20024578</v>
      </c>
      <c r="H80" s="151">
        <f t="shared" si="140"/>
        <v>122015470.86625315</v>
      </c>
      <c r="I80" s="151">
        <f t="shared" si="140"/>
        <v>125675934.99224076</v>
      </c>
      <c r="J80" s="151">
        <f t="shared" si="140"/>
        <v>129446213.04200798</v>
      </c>
      <c r="K80" s="151">
        <f t="shared" si="140"/>
        <v>133329599.43326822</v>
      </c>
      <c r="L80" s="151">
        <f t="shared" si="140"/>
        <v>137329487.41626626</v>
      </c>
      <c r="M80" s="151">
        <f t="shared" si="140"/>
        <v>141449372.03875425</v>
      </c>
    </row>
    <row r="81" spans="1:13">
      <c r="A81" s="10" t="s">
        <v>147</v>
      </c>
      <c r="B81" s="204" t="s">
        <v>148</v>
      </c>
      <c r="C81" s="203">
        <f t="shared" ref="C81:M81" si="141">SUM(C82:C82)</f>
        <v>3148223182</v>
      </c>
      <c r="D81" s="203">
        <f t="shared" si="141"/>
        <v>3242669877.46</v>
      </c>
      <c r="E81" s="203">
        <f t="shared" si="141"/>
        <v>3339949973.7838001</v>
      </c>
      <c r="F81" s="203">
        <f t="shared" si="141"/>
        <v>3440148472.9973145</v>
      </c>
      <c r="G81" s="203">
        <f t="shared" si="141"/>
        <v>3543352927.1872339</v>
      </c>
      <c r="H81" s="203">
        <f t="shared" si="141"/>
        <v>3649653515.002851</v>
      </c>
      <c r="I81" s="203">
        <f t="shared" si="141"/>
        <v>3759143120.4529366</v>
      </c>
      <c r="J81" s="203">
        <f t="shared" si="141"/>
        <v>3871917414.066525</v>
      </c>
      <c r="K81" s="203">
        <f t="shared" si="141"/>
        <v>3988074936.4885206</v>
      </c>
      <c r="L81" s="203">
        <f t="shared" si="141"/>
        <v>4107717184.5831761</v>
      </c>
      <c r="M81" s="203">
        <f t="shared" si="141"/>
        <v>4230948700.1206717</v>
      </c>
    </row>
    <row r="82" spans="1:13" ht="15.75" customHeight="1">
      <c r="A82" s="10"/>
      <c r="B82" s="11" t="s">
        <v>516</v>
      </c>
      <c r="C82" s="151">
        <v>3148223182</v>
      </c>
      <c r="D82" s="151">
        <f>+C82*D2</f>
        <v>3242669877.46</v>
      </c>
      <c r="E82" s="151">
        <f>SUM(D82*E2)</f>
        <v>3339949973.7838001</v>
      </c>
      <c r="F82" s="151">
        <f t="shared" ref="F82:M82" si="142">SUM(E82*F2)</f>
        <v>3440148472.9973145</v>
      </c>
      <c r="G82" s="151">
        <f t="shared" si="142"/>
        <v>3543352927.1872339</v>
      </c>
      <c r="H82" s="151">
        <f t="shared" si="142"/>
        <v>3649653515.002851</v>
      </c>
      <c r="I82" s="151">
        <f t="shared" si="142"/>
        <v>3759143120.4529366</v>
      </c>
      <c r="J82" s="151">
        <f t="shared" si="142"/>
        <v>3871917414.066525</v>
      </c>
      <c r="K82" s="151">
        <f t="shared" si="142"/>
        <v>3988074936.4885206</v>
      </c>
      <c r="L82" s="151">
        <f t="shared" si="142"/>
        <v>4107717184.5831761</v>
      </c>
      <c r="M82" s="151">
        <f t="shared" si="142"/>
        <v>4230948700.1206717</v>
      </c>
    </row>
    <row r="83" spans="1:13">
      <c r="A83" s="10" t="s">
        <v>149</v>
      </c>
      <c r="B83" s="204" t="s">
        <v>552</v>
      </c>
      <c r="C83" s="203">
        <f>SUM(C84)</f>
        <v>459956848</v>
      </c>
      <c r="D83" s="203">
        <f>SUM(D84)</f>
        <v>473755553.44</v>
      </c>
      <c r="E83" s="203">
        <f t="shared" ref="E83:M83" si="143">SUM(E84)</f>
        <v>487968220.04320002</v>
      </c>
      <c r="F83" s="203">
        <f t="shared" si="143"/>
        <v>502607266.64449602</v>
      </c>
      <c r="G83" s="203">
        <f t="shared" si="143"/>
        <v>517685484.6438309</v>
      </c>
      <c r="H83" s="203">
        <f t="shared" si="143"/>
        <v>533216049.18314582</v>
      </c>
      <c r="I83" s="203">
        <f t="shared" si="143"/>
        <v>549212530.65864027</v>
      </c>
      <c r="J83" s="203">
        <f t="shared" si="143"/>
        <v>565688906.57839954</v>
      </c>
      <c r="K83" s="203">
        <f t="shared" si="143"/>
        <v>582659573.77575159</v>
      </c>
      <c r="L83" s="203">
        <f t="shared" si="143"/>
        <v>600139360.98902416</v>
      </c>
      <c r="M83" s="203">
        <f t="shared" si="143"/>
        <v>618143541.81869495</v>
      </c>
    </row>
    <row r="84" spans="1:13">
      <c r="A84" s="10"/>
      <c r="B84" s="11" t="s">
        <v>512</v>
      </c>
      <c r="C84" s="151">
        <f>+'[1]Presupuesto 2.018'!$M$510</f>
        <v>459956848</v>
      </c>
      <c r="D84" s="151">
        <f>+C84*D2</f>
        <v>473755553.44</v>
      </c>
      <c r="E84" s="151">
        <f t="shared" ref="E84:M84" si="144">SUM(D84*E2)</f>
        <v>487968220.04320002</v>
      </c>
      <c r="F84" s="151">
        <f t="shared" si="144"/>
        <v>502607266.64449602</v>
      </c>
      <c r="G84" s="151">
        <f t="shared" si="144"/>
        <v>517685484.6438309</v>
      </c>
      <c r="H84" s="151">
        <f t="shared" si="144"/>
        <v>533216049.18314582</v>
      </c>
      <c r="I84" s="151">
        <f t="shared" si="144"/>
        <v>549212530.65864027</v>
      </c>
      <c r="J84" s="151">
        <f t="shared" si="144"/>
        <v>565688906.57839954</v>
      </c>
      <c r="K84" s="151">
        <f t="shared" si="144"/>
        <v>582659573.77575159</v>
      </c>
      <c r="L84" s="151">
        <f t="shared" si="144"/>
        <v>600139360.98902416</v>
      </c>
      <c r="M84" s="151">
        <f t="shared" si="144"/>
        <v>618143541.81869495</v>
      </c>
    </row>
    <row r="85" spans="1:13">
      <c r="A85" s="6" t="s">
        <v>152</v>
      </c>
      <c r="B85" s="7" t="s">
        <v>153</v>
      </c>
      <c r="C85" s="153">
        <f t="shared" ref="C85" si="145">SUM(C86:C87)</f>
        <v>556912270</v>
      </c>
      <c r="D85" s="153">
        <f t="shared" ref="D85" si="146">SUM(D86:D87)</f>
        <v>477824137</v>
      </c>
      <c r="E85" s="153">
        <f t="shared" ref="E85" si="147">SUM(E86:E87)</f>
        <v>398736004</v>
      </c>
      <c r="F85" s="153">
        <f t="shared" ref="F85" si="148">SUM(F86:F87)</f>
        <v>319647871</v>
      </c>
      <c r="G85" s="153">
        <f t="shared" ref="G85" si="149">SUM(G86:G87)</f>
        <v>240559738</v>
      </c>
      <c r="H85" s="153">
        <f t="shared" ref="H85" si="150">SUM(H86:H87)</f>
        <v>161471605</v>
      </c>
      <c r="I85" s="153">
        <f t="shared" ref="I85" si="151">SUM(I86:I87)</f>
        <v>82383472</v>
      </c>
      <c r="J85" s="153">
        <f t="shared" ref="J85" si="152">SUM(J86:J87)</f>
        <v>11533686</v>
      </c>
      <c r="K85" s="153">
        <f t="shared" ref="K85" si="153">SUM(K86:K87)</f>
        <v>0</v>
      </c>
      <c r="L85" s="153">
        <f t="shared" ref="L85" si="154">SUM(L86:L87)</f>
        <v>0</v>
      </c>
      <c r="M85" s="153">
        <f t="shared" ref="M85" si="155">SUM(M86:M87)</f>
        <v>0</v>
      </c>
    </row>
    <row r="86" spans="1:13">
      <c r="A86" s="10" t="s">
        <v>154</v>
      </c>
      <c r="B86" s="11" t="s">
        <v>155</v>
      </c>
      <c r="C86" s="151">
        <v>556912270</v>
      </c>
      <c r="D86" s="151">
        <v>477824137</v>
      </c>
      <c r="E86" s="161">
        <v>398736004</v>
      </c>
      <c r="F86" s="161">
        <v>319647871</v>
      </c>
      <c r="G86" s="161">
        <v>240559738</v>
      </c>
      <c r="H86" s="161">
        <v>161471605</v>
      </c>
      <c r="I86" s="161">
        <v>82383472</v>
      </c>
      <c r="J86" s="161">
        <v>11533686</v>
      </c>
      <c r="K86" s="161">
        <v>0</v>
      </c>
      <c r="L86" s="161">
        <v>0</v>
      </c>
      <c r="M86" s="161">
        <v>0</v>
      </c>
    </row>
    <row r="87" spans="1:13" hidden="1">
      <c r="A87" s="10" t="s">
        <v>156</v>
      </c>
      <c r="B87" s="11" t="s">
        <v>157</v>
      </c>
      <c r="C87" s="151"/>
      <c r="D87" s="151"/>
      <c r="E87" s="151"/>
      <c r="F87" s="151"/>
      <c r="G87" s="151"/>
      <c r="H87" s="151"/>
      <c r="I87" s="151"/>
      <c r="J87" s="151"/>
      <c r="K87" s="151"/>
      <c r="L87" s="151"/>
      <c r="M87" s="151"/>
    </row>
    <row r="88" spans="1:13">
      <c r="A88" s="4" t="s">
        <v>158</v>
      </c>
      <c r="B88" s="5" t="s">
        <v>159</v>
      </c>
      <c r="C88" s="154">
        <f t="shared" ref="C88:M88" si="156">C5-C49</f>
        <v>27787282853</v>
      </c>
      <c r="D88" s="154">
        <f t="shared" si="156"/>
        <v>28938162319.689987</v>
      </c>
      <c r="E88" s="154">
        <f t="shared" si="156"/>
        <v>29300979356.374832</v>
      </c>
      <c r="F88" s="154">
        <f t="shared" si="156"/>
        <v>30271058950.186035</v>
      </c>
      <c r="G88" s="154">
        <f t="shared" si="156"/>
        <v>31267868287.821625</v>
      </c>
      <c r="H88" s="154">
        <f t="shared" si="156"/>
        <v>32292209261.596222</v>
      </c>
      <c r="I88" s="154">
        <f t="shared" si="156"/>
        <v>33344907820.594208</v>
      </c>
      <c r="J88" s="154">
        <f t="shared" si="156"/>
        <v>34418576345.371979</v>
      </c>
      <c r="K88" s="154">
        <f t="shared" si="156"/>
        <v>35463013332.313141</v>
      </c>
      <c r="L88" s="154">
        <f t="shared" si="156"/>
        <v>36526903732.282501</v>
      </c>
      <c r="M88" s="154">
        <f t="shared" si="156"/>
        <v>37622710844.251038</v>
      </c>
    </row>
    <row r="89" spans="1:13">
      <c r="A89" s="6" t="s">
        <v>160</v>
      </c>
      <c r="B89" s="7" t="s">
        <v>161</v>
      </c>
      <c r="C89" s="153">
        <f t="shared" ref="C89:E89" si="157">SUM(C90:C100)</f>
        <v>0</v>
      </c>
      <c r="D89" s="153">
        <f t="shared" si="157"/>
        <v>0</v>
      </c>
      <c r="E89" s="153">
        <f t="shared" si="157"/>
        <v>0</v>
      </c>
      <c r="F89" s="153">
        <f t="shared" ref="F89" si="158">SUM(F90:F100)</f>
        <v>0</v>
      </c>
      <c r="G89" s="153">
        <f t="shared" ref="G89" si="159">SUM(G90:G100)</f>
        <v>0</v>
      </c>
      <c r="H89" s="153">
        <f t="shared" ref="H89" si="160">SUM(H90:H100)</f>
        <v>0</v>
      </c>
      <c r="I89" s="153">
        <f t="shared" ref="I89" si="161">SUM(I90:I100)</f>
        <v>0</v>
      </c>
      <c r="J89" s="153">
        <f t="shared" ref="J89" si="162">SUM(J90:J100)</f>
        <v>0</v>
      </c>
      <c r="K89" s="153">
        <f t="shared" ref="K89" si="163">SUM(K90:K100)</f>
        <v>0</v>
      </c>
      <c r="L89" s="153">
        <f t="shared" ref="L89" si="164">SUM(L90:L100)</f>
        <v>0</v>
      </c>
      <c r="M89" s="153">
        <f t="shared" ref="M89" si="165">SUM(M90:M100)</f>
        <v>0</v>
      </c>
    </row>
    <row r="90" spans="1:13">
      <c r="A90" s="10" t="s">
        <v>162</v>
      </c>
      <c r="B90" s="11" t="s">
        <v>163</v>
      </c>
      <c r="C90" s="151">
        <v>0</v>
      </c>
      <c r="D90" s="151">
        <v>0</v>
      </c>
      <c r="E90" s="151">
        <v>0</v>
      </c>
      <c r="F90" s="151">
        <v>0</v>
      </c>
      <c r="G90" s="151">
        <v>0</v>
      </c>
      <c r="H90" s="151">
        <v>0</v>
      </c>
      <c r="I90" s="151">
        <v>0</v>
      </c>
      <c r="J90" s="151">
        <v>0</v>
      </c>
      <c r="K90" s="151">
        <v>0</v>
      </c>
      <c r="L90" s="151">
        <v>0</v>
      </c>
      <c r="M90" s="151">
        <v>0</v>
      </c>
    </row>
    <row r="91" spans="1:13">
      <c r="A91" s="10" t="s">
        <v>164</v>
      </c>
      <c r="B91" s="11" t="s">
        <v>165</v>
      </c>
      <c r="C91" s="151">
        <v>0</v>
      </c>
      <c r="D91" s="151">
        <v>0</v>
      </c>
      <c r="E91" s="151">
        <v>0</v>
      </c>
      <c r="F91" s="151">
        <v>0</v>
      </c>
      <c r="G91" s="151">
        <v>0</v>
      </c>
      <c r="H91" s="151">
        <v>0</v>
      </c>
      <c r="I91" s="151">
        <v>0</v>
      </c>
      <c r="J91" s="151">
        <v>0</v>
      </c>
      <c r="K91" s="151">
        <v>0</v>
      </c>
      <c r="L91" s="151">
        <v>0</v>
      </c>
      <c r="M91" s="151">
        <v>0</v>
      </c>
    </row>
    <row r="92" spans="1:13">
      <c r="A92" s="10" t="s">
        <v>166</v>
      </c>
      <c r="B92" s="11" t="s">
        <v>530</v>
      </c>
      <c r="C92" s="151">
        <v>0</v>
      </c>
      <c r="D92" s="151">
        <v>0</v>
      </c>
      <c r="E92" s="151">
        <v>0</v>
      </c>
      <c r="F92" s="151">
        <v>0</v>
      </c>
      <c r="G92" s="151">
        <v>0</v>
      </c>
      <c r="H92" s="151">
        <v>0</v>
      </c>
      <c r="I92" s="151">
        <v>0</v>
      </c>
      <c r="J92" s="151">
        <v>0</v>
      </c>
      <c r="K92" s="151">
        <v>0</v>
      </c>
      <c r="L92" s="151">
        <v>0</v>
      </c>
      <c r="M92" s="151">
        <v>0</v>
      </c>
    </row>
    <row r="93" spans="1:13" hidden="1">
      <c r="A93" s="10" t="s">
        <v>167</v>
      </c>
      <c r="B93" s="11" t="s">
        <v>168</v>
      </c>
      <c r="C93" s="151"/>
      <c r="D93" s="151"/>
      <c r="E93" s="151"/>
      <c r="F93" s="151"/>
      <c r="G93" s="151"/>
      <c r="H93" s="151"/>
      <c r="I93" s="151"/>
      <c r="J93" s="151"/>
      <c r="K93" s="151"/>
      <c r="L93" s="151"/>
      <c r="M93" s="151"/>
    </row>
    <row r="94" spans="1:13" hidden="1">
      <c r="A94" s="10" t="s">
        <v>169</v>
      </c>
      <c r="B94" s="11" t="s">
        <v>170</v>
      </c>
      <c r="C94" s="151"/>
      <c r="D94" s="151"/>
      <c r="E94" s="151"/>
      <c r="F94" s="151"/>
      <c r="G94" s="151"/>
      <c r="H94" s="151"/>
      <c r="I94" s="151"/>
      <c r="J94" s="151"/>
      <c r="K94" s="151"/>
      <c r="L94" s="151"/>
      <c r="M94" s="151"/>
    </row>
    <row r="95" spans="1:13" hidden="1">
      <c r="A95" s="10" t="s">
        <v>171</v>
      </c>
      <c r="B95" s="11" t="s">
        <v>172</v>
      </c>
      <c r="C95" s="151"/>
      <c r="D95" s="151"/>
      <c r="E95" s="151"/>
      <c r="F95" s="151"/>
      <c r="G95" s="151"/>
      <c r="H95" s="151"/>
      <c r="I95" s="151"/>
      <c r="J95" s="151"/>
      <c r="K95" s="151"/>
      <c r="L95" s="151"/>
      <c r="M95" s="151"/>
    </row>
    <row r="96" spans="1:13" hidden="1">
      <c r="A96" s="10" t="s">
        <v>173</v>
      </c>
      <c r="B96" s="11" t="s">
        <v>174</v>
      </c>
      <c r="C96" s="151"/>
      <c r="D96" s="151"/>
      <c r="E96" s="151"/>
      <c r="F96" s="151"/>
      <c r="G96" s="151"/>
      <c r="H96" s="151"/>
      <c r="I96" s="151"/>
      <c r="J96" s="151"/>
      <c r="K96" s="151"/>
      <c r="L96" s="151"/>
      <c r="M96" s="151"/>
    </row>
    <row r="97" spans="1:13" hidden="1">
      <c r="A97" s="10" t="s">
        <v>175</v>
      </c>
      <c r="B97" s="11" t="s">
        <v>176</v>
      </c>
      <c r="C97" s="151"/>
      <c r="D97" s="151"/>
      <c r="E97" s="151"/>
      <c r="F97" s="151"/>
      <c r="G97" s="151"/>
      <c r="H97" s="151"/>
      <c r="I97" s="151"/>
      <c r="J97" s="151"/>
      <c r="K97" s="151"/>
      <c r="L97" s="151"/>
      <c r="M97" s="151"/>
    </row>
    <row r="98" spans="1:13" hidden="1">
      <c r="A98" s="10" t="s">
        <v>177</v>
      </c>
      <c r="B98" s="11" t="s">
        <v>178</v>
      </c>
      <c r="C98" s="151"/>
      <c r="D98" s="151"/>
      <c r="E98" s="151"/>
      <c r="F98" s="151"/>
      <c r="G98" s="151"/>
      <c r="H98" s="151"/>
      <c r="I98" s="151"/>
      <c r="J98" s="151"/>
      <c r="K98" s="151"/>
      <c r="L98" s="151"/>
      <c r="M98" s="151"/>
    </row>
    <row r="99" spans="1:13" hidden="1">
      <c r="A99" s="10" t="s">
        <v>179</v>
      </c>
      <c r="B99" s="11" t="s">
        <v>180</v>
      </c>
      <c r="C99" s="151"/>
      <c r="D99" s="151"/>
      <c r="E99" s="151"/>
      <c r="F99" s="151"/>
      <c r="G99" s="151"/>
      <c r="H99" s="151"/>
      <c r="I99" s="151"/>
      <c r="J99" s="151"/>
      <c r="K99" s="151"/>
      <c r="L99" s="151"/>
      <c r="M99" s="151"/>
    </row>
    <row r="100" spans="1:13" hidden="1">
      <c r="A100" s="10" t="s">
        <v>181</v>
      </c>
      <c r="B100" s="11" t="s">
        <v>182</v>
      </c>
      <c r="C100" s="151"/>
      <c r="D100" s="151"/>
      <c r="E100" s="151"/>
      <c r="F100" s="151"/>
      <c r="G100" s="151"/>
      <c r="H100" s="151"/>
      <c r="I100" s="151"/>
      <c r="J100" s="151"/>
      <c r="K100" s="151"/>
      <c r="L100" s="151"/>
      <c r="M100" s="151"/>
    </row>
    <row r="101" spans="1:13">
      <c r="A101" s="6" t="s">
        <v>183</v>
      </c>
      <c r="B101" s="7" t="s">
        <v>184</v>
      </c>
      <c r="C101" s="153">
        <f t="shared" ref="C101:M101" si="166">C102+C148</f>
        <v>27047282853</v>
      </c>
      <c r="D101" s="153">
        <f t="shared" si="166"/>
        <v>28198162319.689999</v>
      </c>
      <c r="E101" s="153">
        <f t="shared" si="166"/>
        <v>28560979356.374844</v>
      </c>
      <c r="F101" s="153">
        <f t="shared" si="166"/>
        <v>29531058950.186028</v>
      </c>
      <c r="G101" s="153">
        <f t="shared" si="166"/>
        <v>30527868287.821636</v>
      </c>
      <c r="H101" s="153">
        <f t="shared" si="166"/>
        <v>31552209261.596237</v>
      </c>
      <c r="I101" s="153">
        <f t="shared" si="166"/>
        <v>32604907820.594219</v>
      </c>
      <c r="J101" s="153">
        <f t="shared" si="166"/>
        <v>34048576345.371986</v>
      </c>
      <c r="K101" s="153">
        <f t="shared" si="166"/>
        <v>35463013332.313133</v>
      </c>
      <c r="L101" s="153">
        <f t="shared" si="166"/>
        <v>36526903732.282516</v>
      </c>
      <c r="M101" s="153">
        <f t="shared" si="166"/>
        <v>37622710844.251045</v>
      </c>
    </row>
    <row r="102" spans="1:13" ht="26.25">
      <c r="A102" s="6" t="s">
        <v>185</v>
      </c>
      <c r="B102" s="7" t="s">
        <v>186</v>
      </c>
      <c r="C102" s="153">
        <f t="shared" ref="C102:M102" si="167">SUM(C103+C113+C116+C118+C124+C127)</f>
        <v>27047282853</v>
      </c>
      <c r="D102" s="153">
        <f t="shared" si="167"/>
        <v>28198162319.689999</v>
      </c>
      <c r="E102" s="153">
        <f t="shared" si="167"/>
        <v>28560979356.374844</v>
      </c>
      <c r="F102" s="153">
        <f t="shared" si="167"/>
        <v>29531058950.186028</v>
      </c>
      <c r="G102" s="153">
        <f t="shared" si="167"/>
        <v>30527868287.821636</v>
      </c>
      <c r="H102" s="153">
        <f t="shared" si="167"/>
        <v>31552209261.596237</v>
      </c>
      <c r="I102" s="153">
        <f t="shared" si="167"/>
        <v>32604907820.594219</v>
      </c>
      <c r="J102" s="153">
        <f t="shared" si="167"/>
        <v>34048576345.371986</v>
      </c>
      <c r="K102" s="153">
        <f t="shared" si="167"/>
        <v>35463013332.313133</v>
      </c>
      <c r="L102" s="153">
        <f t="shared" si="167"/>
        <v>36526903732.282516</v>
      </c>
      <c r="M102" s="153">
        <f t="shared" si="167"/>
        <v>37622710844.251045</v>
      </c>
    </row>
    <row r="103" spans="1:13">
      <c r="A103" s="10" t="s">
        <v>187</v>
      </c>
      <c r="B103" s="204" t="s">
        <v>508</v>
      </c>
      <c r="C103" s="203">
        <f t="shared" ref="C103:M103" si="168">SUM(C104+C109)</f>
        <v>12068086660</v>
      </c>
      <c r="D103" s="203">
        <f t="shared" si="168"/>
        <v>12430129259.799999</v>
      </c>
      <c r="E103" s="203">
        <f t="shared" si="168"/>
        <v>12803033137.594002</v>
      </c>
      <c r="F103" s="203">
        <f t="shared" si="168"/>
        <v>13187124131.721821</v>
      </c>
      <c r="G103" s="203">
        <f t="shared" si="168"/>
        <v>13582737855.673475</v>
      </c>
      <c r="H103" s="203">
        <f t="shared" si="168"/>
        <v>13990219991.343679</v>
      </c>
      <c r="I103" s="203">
        <f t="shared" si="168"/>
        <v>14409926591.083988</v>
      </c>
      <c r="J103" s="203">
        <f t="shared" si="168"/>
        <v>14842224388.816509</v>
      </c>
      <c r="K103" s="203">
        <f t="shared" si="168"/>
        <v>15287491120.481007</v>
      </c>
      <c r="L103" s="203">
        <f t="shared" si="168"/>
        <v>15746115854.095436</v>
      </c>
      <c r="M103" s="203">
        <f t="shared" si="168"/>
        <v>16218499329.7183</v>
      </c>
    </row>
    <row r="104" spans="1:13">
      <c r="A104" s="10"/>
      <c r="B104" s="204" t="s">
        <v>546</v>
      </c>
      <c r="C104" s="203">
        <f>SUM(C105:C108)</f>
        <v>5634227788</v>
      </c>
      <c r="D104" s="203">
        <f>SUM(D105:D108)</f>
        <v>5803254621.6400003</v>
      </c>
      <c r="E104" s="203">
        <f t="shared" ref="E104:M104" si="169">SUM(E105:E108)</f>
        <v>5977352260.2892008</v>
      </c>
      <c r="F104" s="203">
        <f t="shared" si="169"/>
        <v>6156672828.0978765</v>
      </c>
      <c r="G104" s="203">
        <f t="shared" si="169"/>
        <v>6341373012.9408131</v>
      </c>
      <c r="H104" s="203">
        <f t="shared" si="169"/>
        <v>6531614203.3290377</v>
      </c>
      <c r="I104" s="203">
        <f t="shared" si="169"/>
        <v>6727562629.4289083</v>
      </c>
      <c r="J104" s="203">
        <f t="shared" si="169"/>
        <v>6929389508.3117762</v>
      </c>
      <c r="K104" s="203">
        <f t="shared" si="169"/>
        <v>7137271193.5611305</v>
      </c>
      <c r="L104" s="203">
        <f t="shared" si="169"/>
        <v>7351389329.3679638</v>
      </c>
      <c r="M104" s="203">
        <f t="shared" si="169"/>
        <v>7571931009.2490034</v>
      </c>
    </row>
    <row r="105" spans="1:13">
      <c r="A105" s="10"/>
      <c r="B105" s="11" t="s">
        <v>500</v>
      </c>
      <c r="C105" s="151">
        <v>2842563281</v>
      </c>
      <c r="D105" s="151">
        <f>+C105*D2</f>
        <v>2927840179.4300003</v>
      </c>
      <c r="E105" s="151">
        <f t="shared" ref="E105:M105" si="170">SUM(D105*E2)</f>
        <v>3015675384.8129005</v>
      </c>
      <c r="F105" s="151">
        <f t="shared" si="170"/>
        <v>3106145646.3572874</v>
      </c>
      <c r="G105" s="151">
        <f t="shared" si="170"/>
        <v>3199330015.7480063</v>
      </c>
      <c r="H105" s="151">
        <f t="shared" si="170"/>
        <v>3295309916.2204466</v>
      </c>
      <c r="I105" s="151">
        <f t="shared" si="170"/>
        <v>3394169213.7070599</v>
      </c>
      <c r="J105" s="151">
        <f t="shared" si="170"/>
        <v>3495994290.1182718</v>
      </c>
      <c r="K105" s="151">
        <f t="shared" si="170"/>
        <v>3600874118.8218203</v>
      </c>
      <c r="L105" s="151">
        <f t="shared" si="170"/>
        <v>3708900342.3864751</v>
      </c>
      <c r="M105" s="151">
        <f t="shared" si="170"/>
        <v>3820167352.6580696</v>
      </c>
    </row>
    <row r="106" spans="1:13">
      <c r="A106" s="10"/>
      <c r="B106" s="11" t="s">
        <v>574</v>
      </c>
      <c r="C106" s="151">
        <v>800000000</v>
      </c>
      <c r="D106" s="151">
        <f>+C106*D2</f>
        <v>824000000</v>
      </c>
      <c r="E106" s="151">
        <f t="shared" ref="E106:M106" si="171">+D106*E2</f>
        <v>848720000</v>
      </c>
      <c r="F106" s="151">
        <f t="shared" si="171"/>
        <v>874181600</v>
      </c>
      <c r="G106" s="151">
        <f t="shared" si="171"/>
        <v>900407048</v>
      </c>
      <c r="H106" s="151">
        <f t="shared" si="171"/>
        <v>927419259.44000006</v>
      </c>
      <c r="I106" s="151">
        <f t="shared" si="171"/>
        <v>955241837.22320008</v>
      </c>
      <c r="J106" s="151">
        <f t="shared" si="171"/>
        <v>983899092.33989608</v>
      </c>
      <c r="K106" s="151">
        <f t="shared" si="171"/>
        <v>1013416065.110093</v>
      </c>
      <c r="L106" s="151">
        <f t="shared" si="171"/>
        <v>1043818547.0633959</v>
      </c>
      <c r="M106" s="151">
        <f t="shared" si="171"/>
        <v>1075133103.4752977</v>
      </c>
    </row>
    <row r="107" spans="1:13">
      <c r="A107" s="10"/>
      <c r="B107" s="11" t="s">
        <v>545</v>
      </c>
      <c r="C107" s="151">
        <v>1991664507</v>
      </c>
      <c r="D107" s="151">
        <f>C107*D2</f>
        <v>2051414442.21</v>
      </c>
      <c r="E107" s="151">
        <f t="shared" ref="E107:M107" si="172">SUM(D107*E2)</f>
        <v>2112956875.4763</v>
      </c>
      <c r="F107" s="151">
        <f t="shared" si="172"/>
        <v>2176345581.7405891</v>
      </c>
      <c r="G107" s="151">
        <f t="shared" si="172"/>
        <v>2241635949.1928067</v>
      </c>
      <c r="H107" s="151">
        <f t="shared" si="172"/>
        <v>2308885027.668591</v>
      </c>
      <c r="I107" s="151">
        <f t="shared" si="172"/>
        <v>2378151578.4986486</v>
      </c>
      <c r="J107" s="151">
        <f t="shared" si="172"/>
        <v>2449496125.8536081</v>
      </c>
      <c r="K107" s="151">
        <f t="shared" si="172"/>
        <v>2522981009.6292167</v>
      </c>
      <c r="L107" s="151">
        <f t="shared" si="172"/>
        <v>2598670439.9180932</v>
      </c>
      <c r="M107" s="151">
        <f t="shared" si="172"/>
        <v>2676630553.1156359</v>
      </c>
    </row>
    <row r="108" spans="1:13" hidden="1">
      <c r="A108" s="10"/>
      <c r="B108" s="11" t="s">
        <v>544</v>
      </c>
      <c r="C108" s="151">
        <v>0</v>
      </c>
      <c r="D108" s="151">
        <v>0</v>
      </c>
      <c r="E108" s="151">
        <v>0</v>
      </c>
      <c r="F108" s="151">
        <v>0</v>
      </c>
      <c r="G108" s="151">
        <v>0</v>
      </c>
      <c r="H108" s="151">
        <v>0</v>
      </c>
      <c r="I108" s="151">
        <v>0</v>
      </c>
      <c r="J108" s="151">
        <v>0</v>
      </c>
      <c r="K108" s="151">
        <v>0</v>
      </c>
      <c r="L108" s="151">
        <v>0</v>
      </c>
      <c r="M108" s="151">
        <v>0</v>
      </c>
    </row>
    <row r="109" spans="1:13">
      <c r="A109" s="10"/>
      <c r="B109" s="204" t="s">
        <v>543</v>
      </c>
      <c r="C109" s="203">
        <f t="shared" ref="C109:M109" si="173">SUM(C110:C112)</f>
        <v>6433858872</v>
      </c>
      <c r="D109" s="203">
        <f t="shared" si="173"/>
        <v>6626874638.1599998</v>
      </c>
      <c r="E109" s="203">
        <f t="shared" si="173"/>
        <v>6825680877.3048</v>
      </c>
      <c r="F109" s="203">
        <f t="shared" si="173"/>
        <v>7030451303.6239433</v>
      </c>
      <c r="G109" s="203">
        <f t="shared" si="173"/>
        <v>7241364842.7326622</v>
      </c>
      <c r="H109" s="203">
        <f t="shared" si="173"/>
        <v>7458605788.0146418</v>
      </c>
      <c r="I109" s="203">
        <f t="shared" si="173"/>
        <v>7682363961.6550808</v>
      </c>
      <c r="J109" s="203">
        <f t="shared" si="173"/>
        <v>7912834880.504734</v>
      </c>
      <c r="K109" s="203">
        <f t="shared" si="173"/>
        <v>8150219926.9198761</v>
      </c>
      <c r="L109" s="203">
        <f t="shared" si="173"/>
        <v>8394726524.7274733</v>
      </c>
      <c r="M109" s="203">
        <f t="shared" si="173"/>
        <v>8646568320.4692974</v>
      </c>
    </row>
    <row r="110" spans="1:13">
      <c r="A110" s="10"/>
      <c r="B110" s="11" t="s">
        <v>502</v>
      </c>
      <c r="C110" s="151">
        <v>689582033</v>
      </c>
      <c r="D110" s="151">
        <f>+C110*D2</f>
        <v>710269493.99000001</v>
      </c>
      <c r="E110" s="151">
        <f t="shared" ref="E110:M110" si="174">SUM(E43)</f>
        <v>731577578.80970001</v>
      </c>
      <c r="F110" s="151">
        <f t="shared" si="174"/>
        <v>753524906.17399108</v>
      </c>
      <c r="G110" s="151">
        <f t="shared" si="174"/>
        <v>776130653.35921085</v>
      </c>
      <c r="H110" s="151">
        <f t="shared" si="174"/>
        <v>799414572.95998716</v>
      </c>
      <c r="I110" s="151">
        <f t="shared" si="174"/>
        <v>823397010.14878678</v>
      </c>
      <c r="J110" s="151">
        <f t="shared" si="174"/>
        <v>848098920.45325041</v>
      </c>
      <c r="K110" s="151">
        <f t="shared" si="174"/>
        <v>873541888.06684792</v>
      </c>
      <c r="L110" s="151">
        <f t="shared" si="174"/>
        <v>899748144.70885336</v>
      </c>
      <c r="M110" s="151">
        <f t="shared" si="174"/>
        <v>926740589.05011904</v>
      </c>
    </row>
    <row r="111" spans="1:13">
      <c r="A111" s="10"/>
      <c r="B111" s="11" t="s">
        <v>581</v>
      </c>
      <c r="C111" s="151">
        <v>3747353991</v>
      </c>
      <c r="D111" s="151">
        <f>+C111*D2</f>
        <v>3859774610.73</v>
      </c>
      <c r="E111" s="151">
        <f t="shared" ref="E111:M111" si="175">SUM(D111*E2)</f>
        <v>3975567849.0518999</v>
      </c>
      <c r="F111" s="151">
        <f t="shared" si="175"/>
        <v>4094834884.5234571</v>
      </c>
      <c r="G111" s="151">
        <f t="shared" si="175"/>
        <v>4217679931.0591607</v>
      </c>
      <c r="H111" s="151">
        <f t="shared" si="175"/>
        <v>4344210328.9909353</v>
      </c>
      <c r="I111" s="151">
        <f t="shared" si="175"/>
        <v>4474536638.8606634</v>
      </c>
      <c r="J111" s="151">
        <f t="shared" si="175"/>
        <v>4608772738.0264835</v>
      </c>
      <c r="K111" s="151">
        <f t="shared" si="175"/>
        <v>4747035920.1672783</v>
      </c>
      <c r="L111" s="151">
        <f t="shared" si="175"/>
        <v>4889446997.7722969</v>
      </c>
      <c r="M111" s="151">
        <f t="shared" si="175"/>
        <v>5036130407.7054663</v>
      </c>
    </row>
    <row r="112" spans="1:13">
      <c r="A112" s="10"/>
      <c r="B112" s="11" t="s">
        <v>582</v>
      </c>
      <c r="C112" s="151">
        <v>1996922848</v>
      </c>
      <c r="D112" s="151">
        <f t="shared" ref="D112:M112" si="176">+C112*D2</f>
        <v>2056830533.4400001</v>
      </c>
      <c r="E112" s="151">
        <f t="shared" si="176"/>
        <v>2118535449.4432001</v>
      </c>
      <c r="F112" s="151">
        <f t="shared" si="176"/>
        <v>2182091512.926496</v>
      </c>
      <c r="G112" s="151">
        <f t="shared" si="176"/>
        <v>2247554258.314291</v>
      </c>
      <c r="H112" s="151">
        <f t="shared" si="176"/>
        <v>2314980886.0637197</v>
      </c>
      <c r="I112" s="151">
        <f t="shared" si="176"/>
        <v>2384430312.6456313</v>
      </c>
      <c r="J112" s="151">
        <f t="shared" si="176"/>
        <v>2455963222.0250001</v>
      </c>
      <c r="K112" s="151">
        <f t="shared" si="176"/>
        <v>2529642118.68575</v>
      </c>
      <c r="L112" s="151">
        <f t="shared" si="176"/>
        <v>2605531382.2463226</v>
      </c>
      <c r="M112" s="151">
        <f t="shared" si="176"/>
        <v>2683697323.7137122</v>
      </c>
    </row>
    <row r="113" spans="1:13">
      <c r="A113" s="10" t="s">
        <v>188</v>
      </c>
      <c r="B113" s="204" t="s">
        <v>507</v>
      </c>
      <c r="C113" s="203">
        <f>SUM(C114:C115)</f>
        <v>1288074132</v>
      </c>
      <c r="D113" s="203">
        <f t="shared" ref="D113:M113" si="177">SUM(D114:D115)</f>
        <v>1326716355.96</v>
      </c>
      <c r="E113" s="203">
        <f t="shared" si="177"/>
        <v>1366517846.6388001</v>
      </c>
      <c r="F113" s="203">
        <f t="shared" si="177"/>
        <v>1407513382.0379641</v>
      </c>
      <c r="G113" s="203">
        <f t="shared" si="177"/>
        <v>1449738783.4991031</v>
      </c>
      <c r="H113" s="203">
        <f t="shared" si="177"/>
        <v>1493230947.004076</v>
      </c>
      <c r="I113" s="203">
        <f t="shared" si="177"/>
        <v>1538027875.4141982</v>
      </c>
      <c r="J113" s="203">
        <f t="shared" si="177"/>
        <v>1584168711.6766241</v>
      </c>
      <c r="K113" s="203">
        <f t="shared" si="177"/>
        <v>1631693773.0269229</v>
      </c>
      <c r="L113" s="203">
        <f t="shared" si="177"/>
        <v>1680644586.2177305</v>
      </c>
      <c r="M113" s="203">
        <f t="shared" si="177"/>
        <v>1731063923.8042624</v>
      </c>
    </row>
    <row r="114" spans="1:13">
      <c r="A114" s="10"/>
      <c r="B114" s="11" t="s">
        <v>551</v>
      </c>
      <c r="C114" s="151">
        <f>SUM(C40)</f>
        <v>1182822515</v>
      </c>
      <c r="D114" s="151">
        <f t="shared" ref="D114:M114" si="178">SUM(D40)</f>
        <v>1218307190.45</v>
      </c>
      <c r="E114" s="151">
        <f t="shared" si="178"/>
        <v>1254856406.1635001</v>
      </c>
      <c r="F114" s="151">
        <f t="shared" si="178"/>
        <v>1292502098.3484051</v>
      </c>
      <c r="G114" s="151">
        <f t="shared" si="178"/>
        <v>1331277161.2988572</v>
      </c>
      <c r="H114" s="151">
        <f t="shared" si="178"/>
        <v>1371215476.1378229</v>
      </c>
      <c r="I114" s="151">
        <f t="shared" si="178"/>
        <v>1412351940.4219575</v>
      </c>
      <c r="J114" s="151">
        <f t="shared" si="178"/>
        <v>1454722498.6346161</v>
      </c>
      <c r="K114" s="151">
        <f t="shared" si="178"/>
        <v>1498364173.5936546</v>
      </c>
      <c r="L114" s="151">
        <f t="shared" si="178"/>
        <v>1543315098.8014643</v>
      </c>
      <c r="M114" s="151">
        <f t="shared" si="178"/>
        <v>1589614551.7655082</v>
      </c>
    </row>
    <row r="115" spans="1:13">
      <c r="A115" s="10"/>
      <c r="B115" s="11" t="s">
        <v>592</v>
      </c>
      <c r="C115" s="151">
        <v>105251617</v>
      </c>
      <c r="D115" s="151">
        <f>+C115*D2</f>
        <v>108409165.51000001</v>
      </c>
      <c r="E115" s="151">
        <f t="shared" ref="E115:M115" si="179">+D115*E2</f>
        <v>111661440.47530001</v>
      </c>
      <c r="F115" s="151">
        <f t="shared" si="179"/>
        <v>115011283.68955901</v>
      </c>
      <c r="G115" s="151">
        <f t="shared" si="179"/>
        <v>118461622.20024578</v>
      </c>
      <c r="H115" s="151">
        <f t="shared" si="179"/>
        <v>122015470.86625315</v>
      </c>
      <c r="I115" s="151">
        <f t="shared" si="179"/>
        <v>125675934.99224076</v>
      </c>
      <c r="J115" s="151">
        <f t="shared" si="179"/>
        <v>129446213.04200798</v>
      </c>
      <c r="K115" s="151">
        <f t="shared" si="179"/>
        <v>133329599.43326822</v>
      </c>
      <c r="L115" s="151">
        <f t="shared" si="179"/>
        <v>137329487.41626626</v>
      </c>
      <c r="M115" s="151">
        <f t="shared" si="179"/>
        <v>141449372.03875425</v>
      </c>
    </row>
    <row r="116" spans="1:13">
      <c r="A116" s="10" t="s">
        <v>189</v>
      </c>
      <c r="B116" s="204" t="s">
        <v>506</v>
      </c>
      <c r="C116" s="203">
        <f t="shared" ref="C116:M116" si="180">SUM(C117:C117)</f>
        <v>462130884</v>
      </c>
      <c r="D116" s="203">
        <f t="shared" si="180"/>
        <v>475994810.51999998</v>
      </c>
      <c r="E116" s="203">
        <f t="shared" si="180"/>
        <v>490274654.8355999</v>
      </c>
      <c r="F116" s="203">
        <f t="shared" si="180"/>
        <v>504982894.48066759</v>
      </c>
      <c r="G116" s="203">
        <f t="shared" si="180"/>
        <v>520132381.3150878</v>
      </c>
      <c r="H116" s="203">
        <f t="shared" si="180"/>
        <v>535736352.75454044</v>
      </c>
      <c r="I116" s="203">
        <f t="shared" si="180"/>
        <v>551808443.3371768</v>
      </c>
      <c r="J116" s="203">
        <f t="shared" si="180"/>
        <v>568362696.63729239</v>
      </c>
      <c r="K116" s="203">
        <f t="shared" si="180"/>
        <v>585413577.53641129</v>
      </c>
      <c r="L116" s="203">
        <f t="shared" si="180"/>
        <v>602975984.86250353</v>
      </c>
      <c r="M116" s="203">
        <f t="shared" si="180"/>
        <v>621065264.40837812</v>
      </c>
    </row>
    <row r="117" spans="1:13">
      <c r="A117" s="10"/>
      <c r="B117" s="11" t="s">
        <v>583</v>
      </c>
      <c r="C117" s="151">
        <f>SUM(C41-C81)</f>
        <v>462130884</v>
      </c>
      <c r="D117" s="151">
        <f t="shared" ref="D117:M117" si="181">SUM(D41-D81)</f>
        <v>475994810.51999998</v>
      </c>
      <c r="E117" s="151">
        <f t="shared" si="181"/>
        <v>490274654.8355999</v>
      </c>
      <c r="F117" s="151">
        <f t="shared" si="181"/>
        <v>504982894.48066759</v>
      </c>
      <c r="G117" s="151">
        <f t="shared" si="181"/>
        <v>520132381.3150878</v>
      </c>
      <c r="H117" s="151">
        <f t="shared" si="181"/>
        <v>535736352.75454044</v>
      </c>
      <c r="I117" s="151">
        <f t="shared" si="181"/>
        <v>551808443.3371768</v>
      </c>
      <c r="J117" s="151">
        <f t="shared" si="181"/>
        <v>568362696.63729239</v>
      </c>
      <c r="K117" s="151">
        <f t="shared" si="181"/>
        <v>585413577.53641129</v>
      </c>
      <c r="L117" s="151">
        <f t="shared" si="181"/>
        <v>602975984.86250353</v>
      </c>
      <c r="M117" s="151">
        <f t="shared" si="181"/>
        <v>621065264.40837812</v>
      </c>
    </row>
    <row r="118" spans="1:13">
      <c r="A118" s="10" t="s">
        <v>190</v>
      </c>
      <c r="B118" s="204" t="s">
        <v>488</v>
      </c>
      <c r="C118" s="203">
        <f>SUM(C119:C123)</f>
        <v>3867315615</v>
      </c>
      <c r="D118" s="203">
        <f t="shared" ref="D118:M118" si="182">SUM(D119:D123)</f>
        <v>4146122250.8299999</v>
      </c>
      <c r="E118" s="203">
        <f t="shared" si="182"/>
        <v>4270505918.3549004</v>
      </c>
      <c r="F118" s="203">
        <f t="shared" si="182"/>
        <v>4398621095.9055471</v>
      </c>
      <c r="G118" s="203">
        <f t="shared" si="182"/>
        <v>4530579728.7827139</v>
      </c>
      <c r="H118" s="203">
        <f t="shared" si="182"/>
        <v>4666497120.6461954</v>
      </c>
      <c r="I118" s="203">
        <f t="shared" si="182"/>
        <v>4806492034.2655811</v>
      </c>
      <c r="J118" s="203">
        <f t="shared" si="182"/>
        <v>4950686795.2935486</v>
      </c>
      <c r="K118" s="203">
        <f t="shared" si="182"/>
        <v>5099207399.1523552</v>
      </c>
      <c r="L118" s="203">
        <f t="shared" si="182"/>
        <v>5252183621.1269264</v>
      </c>
      <c r="M118" s="203">
        <f t="shared" si="182"/>
        <v>5409749129.7607346</v>
      </c>
    </row>
    <row r="119" spans="1:13">
      <c r="A119" s="10"/>
      <c r="B119" s="11" t="s">
        <v>504</v>
      </c>
      <c r="C119" s="151">
        <v>237293663</v>
      </c>
      <c r="D119" s="151">
        <f>+C119*D2</f>
        <v>244412472.89000002</v>
      </c>
      <c r="E119" s="151">
        <f t="shared" ref="E119:M119" si="183">SUM(D119*E2)</f>
        <v>251744847.07670003</v>
      </c>
      <c r="F119" s="151">
        <f t="shared" si="183"/>
        <v>259297192.48900104</v>
      </c>
      <c r="G119" s="151">
        <f t="shared" si="183"/>
        <v>267076108.26367107</v>
      </c>
      <c r="H119" s="151">
        <f t="shared" si="183"/>
        <v>275088391.51158118</v>
      </c>
      <c r="I119" s="151">
        <f t="shared" si="183"/>
        <v>283341043.25692862</v>
      </c>
      <c r="J119" s="151">
        <f t="shared" si="183"/>
        <v>291841274.55463648</v>
      </c>
      <c r="K119" s="151">
        <f t="shared" si="183"/>
        <v>300596512.79127556</v>
      </c>
      <c r="L119" s="151">
        <f t="shared" si="183"/>
        <v>309614408.17501384</v>
      </c>
      <c r="M119" s="151">
        <f t="shared" si="183"/>
        <v>318902840.42026424</v>
      </c>
    </row>
    <row r="120" spans="1:13" hidden="1">
      <c r="A120" s="10"/>
      <c r="B120" s="11" t="s">
        <v>584</v>
      </c>
      <c r="C120" s="151">
        <v>0</v>
      </c>
      <c r="D120" s="151">
        <f>+C120*D2</f>
        <v>0</v>
      </c>
      <c r="E120" s="151">
        <f t="shared" ref="E120:M120" si="184">+D120*E2</f>
        <v>0</v>
      </c>
      <c r="F120" s="151">
        <f t="shared" si="184"/>
        <v>0</v>
      </c>
      <c r="G120" s="151">
        <f t="shared" si="184"/>
        <v>0</v>
      </c>
      <c r="H120" s="151">
        <f t="shared" si="184"/>
        <v>0</v>
      </c>
      <c r="I120" s="151">
        <f t="shared" si="184"/>
        <v>0</v>
      </c>
      <c r="J120" s="151">
        <f t="shared" si="184"/>
        <v>0</v>
      </c>
      <c r="K120" s="151">
        <f t="shared" si="184"/>
        <v>0</v>
      </c>
      <c r="L120" s="151">
        <f t="shared" si="184"/>
        <v>0</v>
      </c>
      <c r="M120" s="151">
        <f t="shared" si="184"/>
        <v>0</v>
      </c>
    </row>
    <row r="121" spans="1:13">
      <c r="A121" s="10"/>
      <c r="B121" s="11" t="s">
        <v>505</v>
      </c>
      <c r="C121" s="151">
        <v>13790954</v>
      </c>
      <c r="D121" s="151">
        <v>176991850</v>
      </c>
      <c r="E121" s="151">
        <f t="shared" ref="E121:M121" si="185">SUM(D121*E2)</f>
        <v>182301605.5</v>
      </c>
      <c r="F121" s="151">
        <f t="shared" si="185"/>
        <v>187770653.66499999</v>
      </c>
      <c r="G121" s="151">
        <f t="shared" si="185"/>
        <v>193403773.27495</v>
      </c>
      <c r="H121" s="151">
        <f t="shared" si="185"/>
        <v>199205886.4731985</v>
      </c>
      <c r="I121" s="151">
        <f t="shared" si="185"/>
        <v>205182063.06739447</v>
      </c>
      <c r="J121" s="151">
        <f t="shared" si="185"/>
        <v>211337524.9594163</v>
      </c>
      <c r="K121" s="151">
        <f t="shared" si="185"/>
        <v>217677650.70819879</v>
      </c>
      <c r="L121" s="151">
        <f t="shared" si="185"/>
        <v>224207980.22944474</v>
      </c>
      <c r="M121" s="151">
        <f t="shared" si="185"/>
        <v>230934219.6363281</v>
      </c>
    </row>
    <row r="122" spans="1:13">
      <c r="A122" s="10"/>
      <c r="B122" s="11" t="s">
        <v>585</v>
      </c>
      <c r="C122" s="151">
        <v>124118579</v>
      </c>
      <c r="D122" s="151">
        <f>SUM(C122*D2)</f>
        <v>127842136.37</v>
      </c>
      <c r="E122" s="151">
        <f t="shared" ref="E122:M122" si="186">SUM(D122*E2)</f>
        <v>131677400.46110001</v>
      </c>
      <c r="F122" s="151">
        <f t="shared" si="186"/>
        <v>135627722.47493303</v>
      </c>
      <c r="G122" s="151">
        <f t="shared" si="186"/>
        <v>139696554.14918101</v>
      </c>
      <c r="H122" s="151">
        <f t="shared" si="186"/>
        <v>143887450.77365643</v>
      </c>
      <c r="I122" s="151">
        <f t="shared" si="186"/>
        <v>148204074.29686612</v>
      </c>
      <c r="J122" s="151">
        <f t="shared" si="186"/>
        <v>152650196.52577209</v>
      </c>
      <c r="K122" s="151">
        <f t="shared" si="186"/>
        <v>157229702.42154527</v>
      </c>
      <c r="L122" s="151">
        <f t="shared" si="186"/>
        <v>161946593.49419162</v>
      </c>
      <c r="M122" s="151">
        <f t="shared" si="186"/>
        <v>166804991.29901737</v>
      </c>
    </row>
    <row r="123" spans="1:13">
      <c r="A123" s="10"/>
      <c r="B123" s="11" t="s">
        <v>586</v>
      </c>
      <c r="C123" s="151">
        <v>3492112419</v>
      </c>
      <c r="D123" s="151">
        <f>+C123*D2</f>
        <v>3596875791.5700002</v>
      </c>
      <c r="E123" s="151">
        <f t="shared" ref="E123:M123" si="187">+D123*E2</f>
        <v>3704782065.3171</v>
      </c>
      <c r="F123" s="151">
        <f t="shared" si="187"/>
        <v>3815925527.2766132</v>
      </c>
      <c r="G123" s="151">
        <f t="shared" si="187"/>
        <v>3930403293.0949116</v>
      </c>
      <c r="H123" s="151">
        <f t="shared" si="187"/>
        <v>4048315391.8877592</v>
      </c>
      <c r="I123" s="151">
        <f t="shared" si="187"/>
        <v>4169764853.644392</v>
      </c>
      <c r="J123" s="151">
        <f t="shared" si="187"/>
        <v>4294857799.2537241</v>
      </c>
      <c r="K123" s="151">
        <f t="shared" si="187"/>
        <v>4423703533.2313356</v>
      </c>
      <c r="L123" s="151">
        <f t="shared" si="187"/>
        <v>4556414639.2282763</v>
      </c>
      <c r="M123" s="151">
        <f t="shared" si="187"/>
        <v>4693107078.4051247</v>
      </c>
    </row>
    <row r="124" spans="1:13">
      <c r="A124" s="10" t="s">
        <v>191</v>
      </c>
      <c r="B124" s="204" t="s">
        <v>511</v>
      </c>
      <c r="C124" s="203">
        <f>SUM(C125:C126)</f>
        <v>386333056</v>
      </c>
      <c r="D124" s="203">
        <f>SUM(D125:D126)</f>
        <v>397923047.68000001</v>
      </c>
      <c r="E124" s="203">
        <f t="shared" ref="E124:M124" si="188">SUM(D124*E2)</f>
        <v>409860739.11040002</v>
      </c>
      <c r="F124" s="203">
        <f t="shared" si="188"/>
        <v>422156561.28371203</v>
      </c>
      <c r="G124" s="203">
        <f t="shared" si="188"/>
        <v>434821258.12222338</v>
      </c>
      <c r="H124" s="151">
        <f t="shared" si="188"/>
        <v>447865895.86589009</v>
      </c>
      <c r="I124" s="151">
        <f t="shared" si="188"/>
        <v>461301872.74186683</v>
      </c>
      <c r="J124" s="151">
        <f t="shared" si="188"/>
        <v>475140928.92412287</v>
      </c>
      <c r="K124" s="151">
        <f t="shared" si="188"/>
        <v>489395156.79184657</v>
      </c>
      <c r="L124" s="151">
        <f t="shared" si="188"/>
        <v>504077011.49560201</v>
      </c>
      <c r="M124" s="151">
        <f t="shared" si="188"/>
        <v>519199321.84047008</v>
      </c>
    </row>
    <row r="125" spans="1:13">
      <c r="A125" s="10"/>
      <c r="B125" s="11" t="s">
        <v>509</v>
      </c>
      <c r="C125" s="151">
        <v>177970246</v>
      </c>
      <c r="D125" s="151">
        <f t="shared" ref="D125:M125" si="189">SUM(C125*D2)</f>
        <v>183309353.38</v>
      </c>
      <c r="E125" s="151">
        <f t="shared" si="189"/>
        <v>188808633.98140001</v>
      </c>
      <c r="F125" s="151">
        <f t="shared" si="189"/>
        <v>194472893.00084201</v>
      </c>
      <c r="G125" s="151">
        <f t="shared" si="189"/>
        <v>200307079.79086727</v>
      </c>
      <c r="H125" s="151">
        <f t="shared" si="189"/>
        <v>206316292.18459329</v>
      </c>
      <c r="I125" s="151">
        <f t="shared" si="189"/>
        <v>212505780.95013109</v>
      </c>
      <c r="J125" s="151">
        <f t="shared" si="189"/>
        <v>218880954.37863502</v>
      </c>
      <c r="K125" s="151">
        <f t="shared" si="189"/>
        <v>225447383.00999409</v>
      </c>
      <c r="L125" s="151">
        <f t="shared" si="189"/>
        <v>232210804.50029391</v>
      </c>
      <c r="M125" s="151">
        <f t="shared" si="189"/>
        <v>239177128.63530272</v>
      </c>
    </row>
    <row r="126" spans="1:13">
      <c r="A126" s="10"/>
      <c r="B126" s="11" t="s">
        <v>510</v>
      </c>
      <c r="C126" s="151">
        <v>208362810</v>
      </c>
      <c r="D126" s="151">
        <f>+C126*D2</f>
        <v>214613694.30000001</v>
      </c>
      <c r="E126" s="151">
        <f t="shared" ref="E126:M126" si="190">SUM(D126*E2)</f>
        <v>221052105.12900001</v>
      </c>
      <c r="F126" s="151">
        <f t="shared" si="190"/>
        <v>227683668.28287002</v>
      </c>
      <c r="G126" s="151">
        <f t="shared" si="190"/>
        <v>234514178.33135614</v>
      </c>
      <c r="H126" s="151">
        <f t="shared" si="190"/>
        <v>241549603.68129683</v>
      </c>
      <c r="I126" s="151">
        <f t="shared" si="190"/>
        <v>248796091.79173574</v>
      </c>
      <c r="J126" s="151">
        <f t="shared" si="190"/>
        <v>256259974.54548782</v>
      </c>
      <c r="K126" s="151">
        <f t="shared" si="190"/>
        <v>263947773.78185245</v>
      </c>
      <c r="L126" s="151">
        <f t="shared" si="190"/>
        <v>271866206.99530804</v>
      </c>
      <c r="M126" s="151">
        <f t="shared" si="190"/>
        <v>280022193.20516729</v>
      </c>
    </row>
    <row r="127" spans="1:13">
      <c r="A127" s="10" t="s">
        <v>193</v>
      </c>
      <c r="B127" s="204" t="s">
        <v>489</v>
      </c>
      <c r="C127" s="203">
        <f t="shared" ref="C127:M127" si="191">SUM(C128+C130+C135+C138+C141)</f>
        <v>8975342506</v>
      </c>
      <c r="D127" s="203">
        <f t="shared" si="191"/>
        <v>9421276594.8999977</v>
      </c>
      <c r="E127" s="203">
        <f t="shared" si="191"/>
        <v>9220787059.8411407</v>
      </c>
      <c r="F127" s="203">
        <f t="shared" si="191"/>
        <v>9610660884.7563171</v>
      </c>
      <c r="G127" s="203">
        <f t="shared" si="191"/>
        <v>10009858280.429031</v>
      </c>
      <c r="H127" s="203">
        <f t="shared" si="191"/>
        <v>10418658953.981857</v>
      </c>
      <c r="I127" s="203">
        <f t="shared" si="191"/>
        <v>10837351003.751408</v>
      </c>
      <c r="J127" s="203">
        <f t="shared" si="191"/>
        <v>11627992824.02389</v>
      </c>
      <c r="K127" s="203">
        <f t="shared" si="191"/>
        <v>12369812305.324587</v>
      </c>
      <c r="L127" s="203">
        <f t="shared" si="191"/>
        <v>12740906674.484318</v>
      </c>
      <c r="M127" s="203">
        <f t="shared" si="191"/>
        <v>13123133874.718899</v>
      </c>
    </row>
    <row r="128" spans="1:13">
      <c r="A128" s="10" t="s">
        <v>494</v>
      </c>
      <c r="B128" s="204" t="s">
        <v>492</v>
      </c>
      <c r="C128" s="203">
        <f t="shared" ref="C128:M128" si="192">SUM(C129:C129)</f>
        <v>812174776</v>
      </c>
      <c r="D128" s="203">
        <f t="shared" si="192"/>
        <v>836540019.27999997</v>
      </c>
      <c r="E128" s="203">
        <f t="shared" si="192"/>
        <v>861636219.85839999</v>
      </c>
      <c r="F128" s="203">
        <f t="shared" si="192"/>
        <v>887485306.45415199</v>
      </c>
      <c r="G128" s="203">
        <f t="shared" si="192"/>
        <v>914109865.6477766</v>
      </c>
      <c r="H128" s="203">
        <f t="shared" si="192"/>
        <v>941533161.61720991</v>
      </c>
      <c r="I128" s="203">
        <f t="shared" si="192"/>
        <v>969779156.46572626</v>
      </c>
      <c r="J128" s="203">
        <f t="shared" si="192"/>
        <v>998872531.15969813</v>
      </c>
      <c r="K128" s="203">
        <f t="shared" si="192"/>
        <v>1028838707.0944891</v>
      </c>
      <c r="L128" s="203">
        <f t="shared" si="192"/>
        <v>1059703868.3073238</v>
      </c>
      <c r="M128" s="203">
        <f t="shared" si="192"/>
        <v>1091494984.3565435</v>
      </c>
    </row>
    <row r="129" spans="1:13">
      <c r="A129" s="10"/>
      <c r="B129" s="11" t="s">
        <v>587</v>
      </c>
      <c r="C129" s="151">
        <v>812174776</v>
      </c>
      <c r="D129" s="151">
        <f>+C129*D2</f>
        <v>836540019.27999997</v>
      </c>
      <c r="E129" s="151">
        <f t="shared" ref="E129:M129" si="193">+D129*E2</f>
        <v>861636219.85839999</v>
      </c>
      <c r="F129" s="151">
        <f t="shared" si="193"/>
        <v>887485306.45415199</v>
      </c>
      <c r="G129" s="151">
        <f t="shared" si="193"/>
        <v>914109865.6477766</v>
      </c>
      <c r="H129" s="151">
        <f t="shared" si="193"/>
        <v>941533161.61720991</v>
      </c>
      <c r="I129" s="151">
        <f t="shared" si="193"/>
        <v>969779156.46572626</v>
      </c>
      <c r="J129" s="151">
        <f t="shared" si="193"/>
        <v>998872531.15969813</v>
      </c>
      <c r="K129" s="151">
        <f t="shared" si="193"/>
        <v>1028838707.0944891</v>
      </c>
      <c r="L129" s="151">
        <f t="shared" si="193"/>
        <v>1059703868.3073238</v>
      </c>
      <c r="M129" s="151">
        <f t="shared" si="193"/>
        <v>1091494984.3565435</v>
      </c>
    </row>
    <row r="130" spans="1:13">
      <c r="A130" s="10" t="s">
        <v>495</v>
      </c>
      <c r="B130" s="204" t="s">
        <v>497</v>
      </c>
      <c r="C130" s="203">
        <f t="shared" ref="C130:M130" si="194">SUM(C131:C134)</f>
        <v>1530567256</v>
      </c>
      <c r="D130" s="203">
        <f t="shared" si="194"/>
        <v>1576484273.6800001</v>
      </c>
      <c r="E130" s="203">
        <f t="shared" si="194"/>
        <v>1623778801.8903999</v>
      </c>
      <c r="F130" s="203">
        <f t="shared" si="194"/>
        <v>1672492165.9471121</v>
      </c>
      <c r="G130" s="203">
        <f t="shared" si="194"/>
        <v>1722666930.9255257</v>
      </c>
      <c r="H130" s="203">
        <f t="shared" si="194"/>
        <v>1774346938.8532915</v>
      </c>
      <c r="I130" s="203">
        <f t="shared" si="194"/>
        <v>1827577347.0188904</v>
      </c>
      <c r="J130" s="203">
        <f t="shared" si="194"/>
        <v>1882404667.4294567</v>
      </c>
      <c r="K130" s="203">
        <f t="shared" si="194"/>
        <v>1938876807.4523408</v>
      </c>
      <c r="L130" s="203">
        <f t="shared" si="194"/>
        <v>1997043111.6759114</v>
      </c>
      <c r="M130" s="203">
        <f t="shared" si="194"/>
        <v>2056954405.0261884</v>
      </c>
    </row>
    <row r="131" spans="1:13">
      <c r="A131" s="10"/>
      <c r="B131" s="11" t="s">
        <v>589</v>
      </c>
      <c r="C131" s="151">
        <f>+C8*0.1</f>
        <v>1054102000</v>
      </c>
      <c r="D131" s="151">
        <f t="shared" ref="D131:M131" si="195">+D8*0.1</f>
        <v>1085725060</v>
      </c>
      <c r="E131" s="151">
        <f t="shared" si="195"/>
        <v>1118296811.8</v>
      </c>
      <c r="F131" s="151">
        <f t="shared" si="195"/>
        <v>1151845716.154</v>
      </c>
      <c r="G131" s="151">
        <f t="shared" si="195"/>
        <v>1186401087.6386201</v>
      </c>
      <c r="H131" s="151">
        <f t="shared" si="195"/>
        <v>1221993120.2677789</v>
      </c>
      <c r="I131" s="151">
        <f t="shared" si="195"/>
        <v>1258652913.8758123</v>
      </c>
      <c r="J131" s="151">
        <f t="shared" si="195"/>
        <v>1296412501.2920866</v>
      </c>
      <c r="K131" s="151">
        <f t="shared" si="195"/>
        <v>1335304876.3308494</v>
      </c>
      <c r="L131" s="151">
        <f t="shared" si="195"/>
        <v>1375364022.620775</v>
      </c>
      <c r="M131" s="151">
        <f t="shared" si="195"/>
        <v>1416624943.2993982</v>
      </c>
    </row>
    <row r="132" spans="1:13">
      <c r="A132" s="10"/>
      <c r="B132" s="11" t="s">
        <v>590</v>
      </c>
      <c r="C132" s="151">
        <f>SUM(C9)</f>
        <v>216465256</v>
      </c>
      <c r="D132" s="151">
        <f t="shared" ref="D132:M132" si="196">SUM(D9)</f>
        <v>222959213.68000001</v>
      </c>
      <c r="E132" s="151">
        <f t="shared" si="196"/>
        <v>229647990.09040001</v>
      </c>
      <c r="F132" s="151">
        <f t="shared" si="196"/>
        <v>236537429.79311201</v>
      </c>
      <c r="G132" s="151">
        <f t="shared" si="196"/>
        <v>243633552.68690538</v>
      </c>
      <c r="H132" s="151">
        <f t="shared" si="196"/>
        <v>250942559.26751256</v>
      </c>
      <c r="I132" s="151">
        <f t="shared" si="196"/>
        <v>258470836.04553795</v>
      </c>
      <c r="J132" s="151">
        <f t="shared" si="196"/>
        <v>266224961.1269041</v>
      </c>
      <c r="K132" s="151">
        <f t="shared" si="196"/>
        <v>274211709.96071124</v>
      </c>
      <c r="L132" s="151">
        <f t="shared" si="196"/>
        <v>282438061.25953257</v>
      </c>
      <c r="M132" s="151">
        <f t="shared" si="196"/>
        <v>290911203.09731853</v>
      </c>
    </row>
    <row r="133" spans="1:13">
      <c r="A133" s="10"/>
      <c r="B133" s="11" t="s">
        <v>512</v>
      </c>
      <c r="C133" s="151">
        <v>260000000</v>
      </c>
      <c r="D133" s="151">
        <f>+C133*D2</f>
        <v>267800000</v>
      </c>
      <c r="E133" s="151">
        <f t="shared" ref="E133:M133" si="197">+D133*E2</f>
        <v>275834000</v>
      </c>
      <c r="F133" s="151">
        <f t="shared" si="197"/>
        <v>284109020</v>
      </c>
      <c r="G133" s="151">
        <f t="shared" si="197"/>
        <v>292632290.60000002</v>
      </c>
      <c r="H133" s="151">
        <f t="shared" si="197"/>
        <v>301411259.31800002</v>
      </c>
      <c r="I133" s="151">
        <f t="shared" si="197"/>
        <v>310453597.09754002</v>
      </c>
      <c r="J133" s="151">
        <f t="shared" si="197"/>
        <v>319767205.01046622</v>
      </c>
      <c r="K133" s="151">
        <f t="shared" si="197"/>
        <v>329360221.16078019</v>
      </c>
      <c r="L133" s="151">
        <f t="shared" si="197"/>
        <v>339241027.79560363</v>
      </c>
      <c r="M133" s="151">
        <f t="shared" si="197"/>
        <v>349418258.62947178</v>
      </c>
    </row>
    <row r="134" spans="1:13" hidden="1">
      <c r="A134" s="10"/>
      <c r="B134" s="11" t="s">
        <v>540</v>
      </c>
      <c r="C134" s="151"/>
      <c r="D134" s="151">
        <v>0</v>
      </c>
      <c r="E134" s="151">
        <v>0</v>
      </c>
      <c r="F134" s="151">
        <v>0</v>
      </c>
      <c r="G134" s="151">
        <v>0</v>
      </c>
      <c r="H134" s="151"/>
      <c r="I134" s="151"/>
      <c r="J134" s="151"/>
      <c r="K134" s="151"/>
      <c r="L134" s="151"/>
      <c r="M134" s="151"/>
    </row>
    <row r="135" spans="1:13">
      <c r="A135" s="10" t="s">
        <v>496</v>
      </c>
      <c r="B135" s="204" t="s">
        <v>547</v>
      </c>
      <c r="C135" s="203">
        <f>SUM(C136:C137)</f>
        <v>2169514326</v>
      </c>
      <c r="D135" s="203">
        <f>SUM(D136:D137)</f>
        <v>2234599755.7799997</v>
      </c>
      <c r="E135" s="203">
        <f t="shared" ref="E135:M135" si="198">SUM(E136:E137)</f>
        <v>212180000</v>
      </c>
      <c r="F135" s="203">
        <f t="shared" si="198"/>
        <v>218545400</v>
      </c>
      <c r="G135" s="203">
        <f t="shared" si="198"/>
        <v>225101762</v>
      </c>
      <c r="H135" s="203">
        <f t="shared" si="198"/>
        <v>231854814.86000001</v>
      </c>
      <c r="I135" s="203">
        <f t="shared" si="198"/>
        <v>238810459.30580002</v>
      </c>
      <c r="J135" s="203">
        <f t="shared" si="198"/>
        <v>245974773.08497402</v>
      </c>
      <c r="K135" s="203">
        <f t="shared" si="198"/>
        <v>253354016.27752325</v>
      </c>
      <c r="L135" s="203">
        <f t="shared" si="198"/>
        <v>260954636.76584896</v>
      </c>
      <c r="M135" s="203">
        <f t="shared" si="198"/>
        <v>268783275.86882442</v>
      </c>
    </row>
    <row r="136" spans="1:13">
      <c r="A136" s="10"/>
      <c r="B136" s="11" t="s">
        <v>588</v>
      </c>
      <c r="C136" s="151">
        <v>1969514326</v>
      </c>
      <c r="D136" s="151">
        <f>+C136*D2</f>
        <v>2028599755.78</v>
      </c>
      <c r="E136" s="151">
        <v>0</v>
      </c>
      <c r="F136" s="151">
        <v>0</v>
      </c>
      <c r="G136" s="151">
        <v>0</v>
      </c>
      <c r="H136" s="151">
        <v>0</v>
      </c>
      <c r="I136" s="151">
        <v>0</v>
      </c>
      <c r="J136" s="151">
        <v>0</v>
      </c>
      <c r="K136" s="151">
        <v>0</v>
      </c>
      <c r="L136" s="151">
        <v>0</v>
      </c>
      <c r="M136" s="151">
        <v>0</v>
      </c>
    </row>
    <row r="137" spans="1:13">
      <c r="A137" s="10"/>
      <c r="B137" s="11" t="s">
        <v>512</v>
      </c>
      <c r="C137" s="151">
        <v>200000000</v>
      </c>
      <c r="D137" s="151">
        <f>SUM(C137*D2)</f>
        <v>206000000</v>
      </c>
      <c r="E137" s="151">
        <f t="shared" ref="E137:M137" si="199">SUM(D137*E2)</f>
        <v>212180000</v>
      </c>
      <c r="F137" s="151">
        <f t="shared" si="199"/>
        <v>218545400</v>
      </c>
      <c r="G137" s="151">
        <f t="shared" si="199"/>
        <v>225101762</v>
      </c>
      <c r="H137" s="151">
        <f t="shared" si="199"/>
        <v>231854814.86000001</v>
      </c>
      <c r="I137" s="151">
        <f t="shared" si="199"/>
        <v>238810459.30580002</v>
      </c>
      <c r="J137" s="151">
        <f t="shared" si="199"/>
        <v>245974773.08497402</v>
      </c>
      <c r="K137" s="151">
        <f t="shared" si="199"/>
        <v>253354016.27752325</v>
      </c>
      <c r="L137" s="151">
        <f t="shared" si="199"/>
        <v>260954636.76584896</v>
      </c>
      <c r="M137" s="151">
        <f t="shared" si="199"/>
        <v>268783275.86882442</v>
      </c>
    </row>
    <row r="138" spans="1:13">
      <c r="A138" s="10" t="s">
        <v>498</v>
      </c>
      <c r="B138" s="204" t="s">
        <v>499</v>
      </c>
      <c r="C138" s="203">
        <f>SUM(C139:C140)</f>
        <v>659916227</v>
      </c>
      <c r="D138" s="203">
        <f>SUM(D139:D140)</f>
        <v>679713713.81000006</v>
      </c>
      <c r="E138" s="203">
        <f t="shared" ref="E138:M138" si="200">SUM(E139:E140)</f>
        <v>700105125.22430003</v>
      </c>
      <c r="F138" s="203">
        <f t="shared" si="200"/>
        <v>721108278.98102903</v>
      </c>
      <c r="G138" s="203">
        <f t="shared" si="200"/>
        <v>742741527.35045993</v>
      </c>
      <c r="H138" s="203">
        <f t="shared" si="200"/>
        <v>765023773.17097378</v>
      </c>
      <c r="I138" s="203">
        <f t="shared" si="200"/>
        <v>787974486.36610305</v>
      </c>
      <c r="J138" s="203">
        <f t="shared" si="200"/>
        <v>811613720.95708621</v>
      </c>
      <c r="K138" s="203">
        <f t="shared" si="200"/>
        <v>835962132.58579886</v>
      </c>
      <c r="L138" s="203">
        <f t="shared" si="200"/>
        <v>861040996.56337285</v>
      </c>
      <c r="M138" s="203">
        <f t="shared" si="200"/>
        <v>886872226.4602741</v>
      </c>
    </row>
    <row r="139" spans="1:13" hidden="1">
      <c r="A139" s="10"/>
      <c r="B139" s="11" t="s">
        <v>512</v>
      </c>
      <c r="C139" s="151"/>
      <c r="D139" s="151"/>
      <c r="E139" s="151"/>
      <c r="F139" s="151"/>
      <c r="G139" s="151"/>
      <c r="H139" s="151"/>
      <c r="I139" s="151"/>
      <c r="J139" s="151"/>
      <c r="K139" s="151"/>
      <c r="L139" s="151"/>
      <c r="M139" s="151"/>
    </row>
    <row r="140" spans="1:13">
      <c r="A140" s="10"/>
      <c r="B140" s="11" t="s">
        <v>514</v>
      </c>
      <c r="C140" s="151">
        <f>SUM(C16)</f>
        <v>659916227</v>
      </c>
      <c r="D140" s="151">
        <f t="shared" ref="D140:M140" si="201">SUM(D16)</f>
        <v>679713713.81000006</v>
      </c>
      <c r="E140" s="151">
        <f t="shared" si="201"/>
        <v>700105125.22430003</v>
      </c>
      <c r="F140" s="151">
        <f t="shared" si="201"/>
        <v>721108278.98102903</v>
      </c>
      <c r="G140" s="151">
        <f t="shared" si="201"/>
        <v>742741527.35045993</v>
      </c>
      <c r="H140" s="151">
        <f t="shared" si="201"/>
        <v>765023773.17097378</v>
      </c>
      <c r="I140" s="151">
        <f t="shared" si="201"/>
        <v>787974486.36610305</v>
      </c>
      <c r="J140" s="151">
        <f t="shared" si="201"/>
        <v>811613720.95708621</v>
      </c>
      <c r="K140" s="151">
        <f t="shared" si="201"/>
        <v>835962132.58579886</v>
      </c>
      <c r="L140" s="151">
        <f t="shared" si="201"/>
        <v>861040996.56337285</v>
      </c>
      <c r="M140" s="151">
        <f t="shared" si="201"/>
        <v>886872226.4602741</v>
      </c>
    </row>
    <row r="141" spans="1:13">
      <c r="A141" s="10" t="s">
        <v>549</v>
      </c>
      <c r="B141" s="204" t="s">
        <v>548</v>
      </c>
      <c r="C141" s="203">
        <f>SUM(C142:C147)</f>
        <v>3803169921</v>
      </c>
      <c r="D141" s="203">
        <f t="shared" ref="D141:M141" si="202">SUM(D142:D147)</f>
        <v>4093938832.3499966</v>
      </c>
      <c r="E141" s="203">
        <f t="shared" si="202"/>
        <v>5823086912.868042</v>
      </c>
      <c r="F141" s="203">
        <f t="shared" si="202"/>
        <v>6111029733.3740244</v>
      </c>
      <c r="G141" s="203">
        <f t="shared" si="202"/>
        <v>6405238194.50527</v>
      </c>
      <c r="H141" s="203">
        <f t="shared" si="202"/>
        <v>6705900265.480381</v>
      </c>
      <c r="I141" s="203">
        <f t="shared" si="202"/>
        <v>7013209554.5948868</v>
      </c>
      <c r="J141" s="203">
        <f t="shared" si="202"/>
        <v>7689127131.3926744</v>
      </c>
      <c r="K141" s="203">
        <f t="shared" si="202"/>
        <v>8312780641.9144354</v>
      </c>
      <c r="L141" s="203">
        <f t="shared" si="202"/>
        <v>8562164061.1718597</v>
      </c>
      <c r="M141" s="203">
        <f t="shared" si="202"/>
        <v>8819028983.0070686</v>
      </c>
    </row>
    <row r="142" spans="1:13">
      <c r="A142" s="10"/>
      <c r="B142" s="11" t="s">
        <v>512</v>
      </c>
      <c r="C142" s="151">
        <v>1334332951</v>
      </c>
      <c r="D142" s="151">
        <f>+C142*D2</f>
        <v>1374362939.53</v>
      </c>
      <c r="E142" s="151">
        <f t="shared" ref="E142:M142" si="203">+D142*E2</f>
        <v>1415593827.7158999</v>
      </c>
      <c r="F142" s="151">
        <f t="shared" si="203"/>
        <v>1458061642.5473769</v>
      </c>
      <c r="G142" s="151">
        <f t="shared" si="203"/>
        <v>1501803491.8237982</v>
      </c>
      <c r="H142" s="151">
        <f t="shared" si="203"/>
        <v>1546857596.5785122</v>
      </c>
      <c r="I142" s="151">
        <f t="shared" si="203"/>
        <v>1593263324.4758675</v>
      </c>
      <c r="J142" s="151">
        <f t="shared" si="203"/>
        <v>1641061224.2101436</v>
      </c>
      <c r="K142" s="151">
        <f t="shared" si="203"/>
        <v>1690293060.9364479</v>
      </c>
      <c r="L142" s="151">
        <f t="shared" si="203"/>
        <v>1741001852.7645414</v>
      </c>
      <c r="M142" s="151">
        <f t="shared" si="203"/>
        <v>1793231908.3474777</v>
      </c>
    </row>
    <row r="143" spans="1:13">
      <c r="A143" s="10"/>
      <c r="B143" s="11" t="s">
        <v>513</v>
      </c>
      <c r="C143" s="151">
        <v>613276720</v>
      </c>
      <c r="D143" s="151">
        <f t="shared" ref="D143:M143" si="204">SUM(C143*D2)</f>
        <v>631675021.60000002</v>
      </c>
      <c r="E143" s="151">
        <f t="shared" si="204"/>
        <v>650625272.24800003</v>
      </c>
      <c r="F143" s="151">
        <f t="shared" si="204"/>
        <v>670144030.41544008</v>
      </c>
      <c r="G143" s="151">
        <f t="shared" si="204"/>
        <v>690248351.32790327</v>
      </c>
      <c r="H143" s="151">
        <f t="shared" si="204"/>
        <v>710955801.86774039</v>
      </c>
      <c r="I143" s="151">
        <f t="shared" si="204"/>
        <v>732284475.92377257</v>
      </c>
      <c r="J143" s="151">
        <f t="shared" si="204"/>
        <v>754253010.20148575</v>
      </c>
      <c r="K143" s="151">
        <f t="shared" si="204"/>
        <v>776880600.50753033</v>
      </c>
      <c r="L143" s="151">
        <f t="shared" si="204"/>
        <v>800187018.52275622</v>
      </c>
      <c r="M143" s="151">
        <f t="shared" si="204"/>
        <v>824192629.07843888</v>
      </c>
    </row>
    <row r="144" spans="1:13" hidden="1">
      <c r="A144" s="10"/>
      <c r="B144" s="11" t="s">
        <v>550</v>
      </c>
      <c r="C144" s="151">
        <v>0</v>
      </c>
      <c r="D144" s="151">
        <f>+C144*D2</f>
        <v>0</v>
      </c>
      <c r="E144" s="151">
        <f t="shared" ref="E144:M144" si="205">SUM(D144*E2)</f>
        <v>0</v>
      </c>
      <c r="F144" s="151">
        <f t="shared" si="205"/>
        <v>0</v>
      </c>
      <c r="G144" s="151">
        <f t="shared" si="205"/>
        <v>0</v>
      </c>
      <c r="H144" s="151">
        <f t="shared" si="205"/>
        <v>0</v>
      </c>
      <c r="I144" s="151">
        <f t="shared" si="205"/>
        <v>0</v>
      </c>
      <c r="J144" s="151">
        <f t="shared" si="205"/>
        <v>0</v>
      </c>
      <c r="K144" s="151">
        <f t="shared" si="205"/>
        <v>0</v>
      </c>
      <c r="L144" s="151">
        <f t="shared" si="205"/>
        <v>0</v>
      </c>
      <c r="M144" s="151">
        <f t="shared" si="205"/>
        <v>0</v>
      </c>
    </row>
    <row r="145" spans="1:13">
      <c r="A145" s="10"/>
      <c r="B145" s="11" t="s">
        <v>574</v>
      </c>
      <c r="C145" s="151">
        <f>6984224839-C106-C123-C156-C86</f>
        <v>1395200150</v>
      </c>
      <c r="D145" s="151">
        <f t="shared" ref="D145:M145" si="206">SUM(C145*D2)</f>
        <v>1437056154.5</v>
      </c>
      <c r="E145" s="151">
        <f t="shared" si="206"/>
        <v>1480167839.135</v>
      </c>
      <c r="F145" s="151">
        <f t="shared" si="206"/>
        <v>1524572874.3090501</v>
      </c>
      <c r="G145" s="151">
        <f t="shared" si="206"/>
        <v>1570310060.5383217</v>
      </c>
      <c r="H145" s="151">
        <f t="shared" si="206"/>
        <v>1617419362.3544714</v>
      </c>
      <c r="I145" s="151">
        <f t="shared" si="206"/>
        <v>1665941943.2251055</v>
      </c>
      <c r="J145" s="151">
        <f t="shared" si="206"/>
        <v>1715920201.5218587</v>
      </c>
      <c r="K145" s="151">
        <f t="shared" si="206"/>
        <v>1767397807.5675144</v>
      </c>
      <c r="L145" s="151">
        <f t="shared" si="206"/>
        <v>1820419741.7945399</v>
      </c>
      <c r="M145" s="151">
        <f t="shared" si="206"/>
        <v>1875032334.0483761</v>
      </c>
    </row>
    <row r="146" spans="1:13">
      <c r="A146" s="10"/>
      <c r="B146" s="11" t="s">
        <v>540</v>
      </c>
      <c r="C146" s="151">
        <v>129731754</v>
      </c>
      <c r="D146" s="151">
        <v>310297520.33999634</v>
      </c>
      <c r="E146" s="151">
        <v>1925936361.4977417</v>
      </c>
      <c r="F146" s="151">
        <v>2096964665.462616</v>
      </c>
      <c r="G146" s="151">
        <v>2270751174.5565186</v>
      </c>
      <c r="H146" s="151">
        <v>2447378634.9331665</v>
      </c>
      <c r="I146" s="151">
        <v>2626932275.1312561</v>
      </c>
      <c r="J146" s="151">
        <v>3171261533.5451355</v>
      </c>
      <c r="K146" s="151">
        <v>3659379076.1314697</v>
      </c>
      <c r="L146" s="151">
        <v>3769160448.4154053</v>
      </c>
      <c r="M146" s="151">
        <v>3882235261.8679199</v>
      </c>
    </row>
    <row r="147" spans="1:13">
      <c r="A147" s="10"/>
      <c r="B147" s="11" t="s">
        <v>591</v>
      </c>
      <c r="C147" s="151">
        <v>330628346</v>
      </c>
      <c r="D147" s="151">
        <f>+C147*D2</f>
        <v>340547196.38</v>
      </c>
      <c r="E147" s="151">
        <f t="shared" ref="E147:M147" si="207">+D147*E2</f>
        <v>350763612.27139997</v>
      </c>
      <c r="F147" s="151">
        <f t="shared" si="207"/>
        <v>361286520.63954198</v>
      </c>
      <c r="G147" s="151">
        <f t="shared" si="207"/>
        <v>372125116.25872827</v>
      </c>
      <c r="H147" s="151">
        <f t="shared" si="207"/>
        <v>383288869.74649012</v>
      </c>
      <c r="I147" s="151">
        <f t="shared" si="207"/>
        <v>394787535.83888483</v>
      </c>
      <c r="J147" s="151">
        <f t="shared" si="207"/>
        <v>406631161.91405141</v>
      </c>
      <c r="K147" s="151">
        <f t="shared" si="207"/>
        <v>418830096.77147299</v>
      </c>
      <c r="L147" s="151">
        <f t="shared" si="207"/>
        <v>431394999.67461717</v>
      </c>
      <c r="M147" s="151">
        <f t="shared" si="207"/>
        <v>444336849.66485572</v>
      </c>
    </row>
    <row r="148" spans="1:13">
      <c r="A148" s="8" t="s">
        <v>194</v>
      </c>
      <c r="B148" s="9" t="s">
        <v>490</v>
      </c>
      <c r="C148" s="151"/>
      <c r="D148" s="151">
        <f>SUM(D91*0.55)</f>
        <v>0</v>
      </c>
      <c r="E148" s="151">
        <v>0</v>
      </c>
      <c r="F148" s="151">
        <v>0</v>
      </c>
      <c r="G148" s="151">
        <v>0</v>
      </c>
      <c r="H148" s="151">
        <v>0</v>
      </c>
      <c r="I148" s="151">
        <v>0</v>
      </c>
      <c r="J148" s="151">
        <v>0</v>
      </c>
      <c r="K148" s="151">
        <v>0</v>
      </c>
      <c r="L148" s="151">
        <v>0</v>
      </c>
      <c r="M148" s="151">
        <v>0</v>
      </c>
    </row>
    <row r="149" spans="1:13">
      <c r="A149" s="8"/>
      <c r="B149" s="9" t="s">
        <v>526</v>
      </c>
      <c r="C149" s="151"/>
      <c r="D149" s="151">
        <v>0</v>
      </c>
      <c r="E149" s="151">
        <v>0</v>
      </c>
      <c r="F149" s="151">
        <v>0</v>
      </c>
      <c r="G149" s="151">
        <v>0</v>
      </c>
      <c r="H149" s="151">
        <v>0</v>
      </c>
      <c r="I149" s="151">
        <v>0</v>
      </c>
      <c r="J149" s="151">
        <v>0</v>
      </c>
      <c r="K149" s="151">
        <v>0</v>
      </c>
      <c r="L149" s="151">
        <v>0</v>
      </c>
      <c r="M149" s="151">
        <v>0</v>
      </c>
    </row>
    <row r="150" spans="1:13">
      <c r="A150" s="4" t="s">
        <v>195</v>
      </c>
      <c r="B150" s="5" t="s">
        <v>196</v>
      </c>
      <c r="C150" s="154">
        <f t="shared" ref="C150:M150" si="208">C89-C101</f>
        <v>-27047282853</v>
      </c>
      <c r="D150" s="154">
        <f t="shared" si="208"/>
        <v>-28198162319.689999</v>
      </c>
      <c r="E150" s="154">
        <f t="shared" si="208"/>
        <v>-28560979356.374844</v>
      </c>
      <c r="F150" s="154">
        <f t="shared" si="208"/>
        <v>-29531058950.186028</v>
      </c>
      <c r="G150" s="154">
        <f t="shared" si="208"/>
        <v>-30527868287.821636</v>
      </c>
      <c r="H150" s="154">
        <f t="shared" si="208"/>
        <v>-31552209261.596237</v>
      </c>
      <c r="I150" s="154">
        <f t="shared" si="208"/>
        <v>-32604907820.594219</v>
      </c>
      <c r="J150" s="154">
        <f t="shared" si="208"/>
        <v>-34048576345.371986</v>
      </c>
      <c r="K150" s="154">
        <f t="shared" si="208"/>
        <v>-35463013332.313133</v>
      </c>
      <c r="L150" s="154">
        <f t="shared" si="208"/>
        <v>-36526903732.282516</v>
      </c>
      <c r="M150" s="154">
        <f t="shared" si="208"/>
        <v>-37622710844.251045</v>
      </c>
    </row>
    <row r="151" spans="1:13">
      <c r="A151" s="4" t="s">
        <v>197</v>
      </c>
      <c r="B151" s="5" t="s">
        <v>198</v>
      </c>
      <c r="C151" s="154">
        <f t="shared" ref="C151:M151" si="209">C4-C48</f>
        <v>740000000</v>
      </c>
      <c r="D151" s="154">
        <f t="shared" si="209"/>
        <v>740000000</v>
      </c>
      <c r="E151" s="154">
        <f t="shared" si="209"/>
        <v>740000000</v>
      </c>
      <c r="F151" s="154">
        <f t="shared" si="209"/>
        <v>740000000</v>
      </c>
      <c r="G151" s="154">
        <f t="shared" si="209"/>
        <v>740000000</v>
      </c>
      <c r="H151" s="154">
        <f t="shared" si="209"/>
        <v>740000000</v>
      </c>
      <c r="I151" s="154">
        <f t="shared" si="209"/>
        <v>740000000</v>
      </c>
      <c r="J151" s="154">
        <f t="shared" si="209"/>
        <v>370000000</v>
      </c>
      <c r="K151" s="154">
        <f t="shared" si="209"/>
        <v>0</v>
      </c>
      <c r="L151" s="154">
        <f t="shared" si="209"/>
        <v>0</v>
      </c>
      <c r="M151" s="154">
        <f t="shared" si="209"/>
        <v>0</v>
      </c>
    </row>
    <row r="152" spans="1:13">
      <c r="A152" s="6" t="s">
        <v>199</v>
      </c>
      <c r="B152" s="7" t="s">
        <v>200</v>
      </c>
      <c r="C152" s="153">
        <f t="shared" ref="C152:D152" si="210">C153</f>
        <v>-740000000</v>
      </c>
      <c r="D152" s="153">
        <f t="shared" si="210"/>
        <v>-740000000</v>
      </c>
      <c r="E152" s="153">
        <f t="shared" ref="E152" si="211">E153</f>
        <v>-740000000</v>
      </c>
      <c r="F152" s="153">
        <f t="shared" ref="F152" si="212">F153</f>
        <v>-740000000</v>
      </c>
      <c r="G152" s="153">
        <f t="shared" ref="G152" si="213">G153</f>
        <v>-740000000</v>
      </c>
      <c r="H152" s="153">
        <f t="shared" ref="H152" si="214">H153</f>
        <v>-740000000</v>
      </c>
      <c r="I152" s="153">
        <f t="shared" ref="I152" si="215">I153</f>
        <v>-740000000</v>
      </c>
      <c r="J152" s="153">
        <f t="shared" ref="J152" si="216">J153</f>
        <v>-370000000</v>
      </c>
      <c r="K152" s="153">
        <f t="shared" ref="K152" si="217">K153</f>
        <v>0</v>
      </c>
      <c r="L152" s="153">
        <f t="shared" ref="L152" si="218">L153</f>
        <v>0</v>
      </c>
      <c r="M152" s="153">
        <f t="shared" ref="M152" si="219">M153</f>
        <v>0</v>
      </c>
    </row>
    <row r="153" spans="1:13">
      <c r="A153" s="6" t="s">
        <v>201</v>
      </c>
      <c r="B153" s="7" t="s">
        <v>202</v>
      </c>
      <c r="C153" s="153">
        <f t="shared" ref="C153" si="220">C154+C157</f>
        <v>-740000000</v>
      </c>
      <c r="D153" s="153">
        <f t="shared" ref="D153" si="221">D154+D157</f>
        <v>-740000000</v>
      </c>
      <c r="E153" s="153">
        <f t="shared" ref="E153" si="222">E154+E157</f>
        <v>-740000000</v>
      </c>
      <c r="F153" s="153">
        <f t="shared" ref="F153" si="223">F154+F157</f>
        <v>-740000000</v>
      </c>
      <c r="G153" s="153">
        <f t="shared" ref="G153" si="224">G154+G157</f>
        <v>-740000000</v>
      </c>
      <c r="H153" s="153">
        <f t="shared" ref="H153" si="225">H154+H157</f>
        <v>-740000000</v>
      </c>
      <c r="I153" s="153">
        <f t="shared" ref="I153" si="226">I154+I157</f>
        <v>-740000000</v>
      </c>
      <c r="J153" s="153">
        <f t="shared" ref="J153" si="227">J154+J157</f>
        <v>-370000000</v>
      </c>
      <c r="K153" s="153">
        <f t="shared" ref="K153" si="228">K154+K157</f>
        <v>0</v>
      </c>
      <c r="L153" s="153">
        <f t="shared" ref="L153" si="229">L154+L157</f>
        <v>0</v>
      </c>
      <c r="M153" s="153">
        <f t="shared" ref="M153" si="230">M154+M157</f>
        <v>0</v>
      </c>
    </row>
    <row r="154" spans="1:13">
      <c r="A154" s="6" t="s">
        <v>203</v>
      </c>
      <c r="B154" s="7" t="s">
        <v>204</v>
      </c>
      <c r="C154" s="153">
        <f t="shared" ref="C154" si="231">C155-C156</f>
        <v>-740000000</v>
      </c>
      <c r="D154" s="153">
        <f t="shared" ref="D154" si="232">D155-D156</f>
        <v>-740000000</v>
      </c>
      <c r="E154" s="153">
        <f t="shared" ref="E154" si="233">E155-E156</f>
        <v>-740000000</v>
      </c>
      <c r="F154" s="153">
        <f t="shared" ref="F154" si="234">F155-F156</f>
        <v>-740000000</v>
      </c>
      <c r="G154" s="153">
        <f t="shared" ref="G154" si="235">G155-G156</f>
        <v>-740000000</v>
      </c>
      <c r="H154" s="153">
        <f t="shared" ref="H154" si="236">H155-H156</f>
        <v>-740000000</v>
      </c>
      <c r="I154" s="153">
        <f t="shared" ref="I154" si="237">I155-I156</f>
        <v>-740000000</v>
      </c>
      <c r="J154" s="153">
        <f t="shared" ref="J154" si="238">J155-J156</f>
        <v>-370000000</v>
      </c>
      <c r="K154" s="153">
        <f t="shared" ref="K154" si="239">K155-K156</f>
        <v>0</v>
      </c>
      <c r="L154" s="153">
        <f t="shared" ref="L154" si="240">L155-L156</f>
        <v>0</v>
      </c>
      <c r="M154" s="153">
        <f t="shared" ref="M154" si="241">M155-M156</f>
        <v>0</v>
      </c>
    </row>
    <row r="155" spans="1:13">
      <c r="A155" s="10" t="s">
        <v>205</v>
      </c>
      <c r="B155" s="11" t="s">
        <v>206</v>
      </c>
      <c r="C155" s="151">
        <v>0</v>
      </c>
      <c r="D155" s="151">
        <v>0</v>
      </c>
      <c r="E155" s="151">
        <v>0</v>
      </c>
      <c r="F155" s="151">
        <v>0</v>
      </c>
      <c r="G155" s="151">
        <v>0</v>
      </c>
      <c r="H155" s="151">
        <v>0</v>
      </c>
      <c r="I155" s="151">
        <v>0</v>
      </c>
      <c r="J155" s="151">
        <v>0</v>
      </c>
      <c r="K155" s="151"/>
      <c r="L155" s="151"/>
      <c r="M155" s="151"/>
    </row>
    <row r="156" spans="1:13">
      <c r="A156" s="10" t="s">
        <v>207</v>
      </c>
      <c r="B156" s="11" t="s">
        <v>208</v>
      </c>
      <c r="C156" s="151">
        <v>740000000</v>
      </c>
      <c r="D156" s="151">
        <v>740000000</v>
      </c>
      <c r="E156" s="151">
        <v>740000000</v>
      </c>
      <c r="F156" s="151">
        <v>740000000</v>
      </c>
      <c r="G156" s="151">
        <v>740000000</v>
      </c>
      <c r="H156" s="151">
        <v>740000000</v>
      </c>
      <c r="I156" s="151">
        <v>740000000</v>
      </c>
      <c r="J156" s="151">
        <v>370000000</v>
      </c>
      <c r="K156" s="151"/>
      <c r="L156" s="151"/>
      <c r="M156" s="151"/>
    </row>
    <row r="157" spans="1:13">
      <c r="A157" s="6" t="s">
        <v>209</v>
      </c>
      <c r="B157" s="7" t="s">
        <v>210</v>
      </c>
      <c r="C157" s="153">
        <f t="shared" ref="C157" si="242">C158-C159</f>
        <v>0</v>
      </c>
      <c r="D157" s="153">
        <f t="shared" ref="D157" si="243">D158-D159</f>
        <v>0</v>
      </c>
      <c r="E157" s="153">
        <f t="shared" ref="E157" si="244">E158-E159</f>
        <v>0</v>
      </c>
      <c r="F157" s="153">
        <f t="shared" ref="F157" si="245">F158-F159</f>
        <v>0</v>
      </c>
      <c r="G157" s="153">
        <f t="shared" ref="G157" si="246">G158-G159</f>
        <v>0</v>
      </c>
      <c r="H157" s="153">
        <f t="shared" ref="H157" si="247">H158-H159</f>
        <v>0</v>
      </c>
      <c r="I157" s="153">
        <f t="shared" ref="I157" si="248">I158-I159</f>
        <v>0</v>
      </c>
      <c r="J157" s="153">
        <f t="shared" ref="J157" si="249">J158-J159</f>
        <v>0</v>
      </c>
      <c r="K157" s="153">
        <f t="shared" ref="K157" si="250">K158-K159</f>
        <v>0</v>
      </c>
      <c r="L157" s="153">
        <f t="shared" ref="L157" si="251">L158-L159</f>
        <v>0</v>
      </c>
      <c r="M157" s="153">
        <f t="shared" ref="M157" si="252">M158-M159</f>
        <v>0</v>
      </c>
    </row>
    <row r="158" spans="1:13">
      <c r="A158" s="10" t="s">
        <v>211</v>
      </c>
      <c r="B158" s="11" t="s">
        <v>206</v>
      </c>
      <c r="C158" s="151"/>
      <c r="D158" s="151"/>
      <c r="E158" s="151"/>
      <c r="F158" s="151"/>
      <c r="G158" s="151"/>
      <c r="H158" s="151"/>
      <c r="I158" s="151"/>
      <c r="J158" s="151"/>
      <c r="K158" s="151"/>
      <c r="L158" s="151"/>
      <c r="M158" s="151"/>
    </row>
    <row r="159" spans="1:13">
      <c r="A159" s="10" t="s">
        <v>212</v>
      </c>
      <c r="B159" s="11" t="s">
        <v>208</v>
      </c>
      <c r="C159" s="151"/>
      <c r="D159" s="151"/>
      <c r="E159" s="151"/>
      <c r="F159" s="151"/>
      <c r="G159" s="151"/>
      <c r="H159" s="151"/>
      <c r="I159" s="151"/>
      <c r="J159" s="151"/>
      <c r="K159" s="151"/>
      <c r="L159" s="151"/>
      <c r="M159" s="151"/>
    </row>
    <row r="160" spans="1:13">
      <c r="A160" s="17" t="s">
        <v>213</v>
      </c>
      <c r="B160" s="18" t="s">
        <v>214</v>
      </c>
      <c r="C160" s="155"/>
      <c r="D160" s="155"/>
      <c r="E160" s="155"/>
      <c r="F160" s="155"/>
      <c r="G160" s="155"/>
      <c r="H160" s="155"/>
      <c r="I160" s="155"/>
      <c r="J160" s="155"/>
      <c r="K160" s="155"/>
      <c r="L160" s="155"/>
      <c r="M160" s="155"/>
    </row>
    <row r="161" spans="1:13">
      <c r="A161" s="6" t="s">
        <v>215</v>
      </c>
      <c r="B161" s="7" t="s">
        <v>216</v>
      </c>
      <c r="C161" s="153">
        <f t="shared" ref="C161:M161" si="253">(C5+C89)-(C50+C65+C68+C69+C101)</f>
        <v>1296912270</v>
      </c>
      <c r="D161" s="153">
        <f t="shared" si="253"/>
        <v>1217824137</v>
      </c>
      <c r="E161" s="153">
        <f t="shared" si="253"/>
        <v>1138736004</v>
      </c>
      <c r="F161" s="153">
        <f t="shared" si="253"/>
        <v>1059647871</v>
      </c>
      <c r="G161" s="153">
        <f t="shared" si="253"/>
        <v>980559738</v>
      </c>
      <c r="H161" s="153">
        <f t="shared" si="253"/>
        <v>901471605</v>
      </c>
      <c r="I161" s="153">
        <f t="shared" si="253"/>
        <v>822383472</v>
      </c>
      <c r="J161" s="153">
        <f t="shared" si="253"/>
        <v>381533686</v>
      </c>
      <c r="K161" s="153">
        <f t="shared" si="253"/>
        <v>0</v>
      </c>
      <c r="L161" s="153">
        <f t="shared" si="253"/>
        <v>0</v>
      </c>
      <c r="M161" s="153">
        <f t="shared" si="253"/>
        <v>0</v>
      </c>
    </row>
    <row r="162" spans="1:13">
      <c r="A162" s="8" t="s">
        <v>217</v>
      </c>
      <c r="B162" s="9" t="s">
        <v>218</v>
      </c>
      <c r="C162" s="156">
        <f t="shared" ref="C162:M162" si="254">IF(C161=0,0,IF(C85=0,0,C161/C85))</f>
        <v>2.3287550658562433</v>
      </c>
      <c r="D162" s="156">
        <f t="shared" si="254"/>
        <v>2.548686938768018</v>
      </c>
      <c r="E162" s="156">
        <f t="shared" si="254"/>
        <v>2.8558645133033935</v>
      </c>
      <c r="F162" s="156">
        <f t="shared" si="254"/>
        <v>3.315047485487554</v>
      </c>
      <c r="G162" s="156">
        <f t="shared" si="254"/>
        <v>4.0761589871701638</v>
      </c>
      <c r="H162" s="156">
        <f t="shared" si="254"/>
        <v>5.5828491021687681</v>
      </c>
      <c r="I162" s="156">
        <f t="shared" si="254"/>
        <v>9.9823842335753952</v>
      </c>
      <c r="J162" s="156">
        <f t="shared" si="254"/>
        <v>33.079943913853732</v>
      </c>
      <c r="K162" s="156">
        <f t="shared" si="254"/>
        <v>0</v>
      </c>
      <c r="L162" s="156">
        <f t="shared" si="254"/>
        <v>0</v>
      </c>
      <c r="M162" s="156">
        <f t="shared" si="254"/>
        <v>0</v>
      </c>
    </row>
    <row r="163" spans="1:13" ht="25.5">
      <c r="A163" s="17" t="s">
        <v>219</v>
      </c>
      <c r="B163" s="18" t="s">
        <v>220</v>
      </c>
      <c r="C163" s="155"/>
      <c r="D163" s="155"/>
      <c r="E163" s="155"/>
      <c r="F163" s="155"/>
      <c r="G163" s="155"/>
      <c r="H163" s="155"/>
      <c r="I163" s="155"/>
      <c r="J163" s="155"/>
      <c r="K163" s="155"/>
      <c r="L163" s="155"/>
      <c r="M163" s="155"/>
    </row>
    <row r="164" spans="1:13" ht="26.25">
      <c r="A164" s="8" t="s">
        <v>221</v>
      </c>
      <c r="B164" s="9" t="s">
        <v>222</v>
      </c>
      <c r="C164" s="156">
        <f t="shared" ref="C164:M164" si="255">C4+C155+C158-C96</f>
        <v>155960057508</v>
      </c>
      <c r="D164" s="156">
        <f t="shared" si="255"/>
        <v>160860324713.23999</v>
      </c>
      <c r="E164" s="156">
        <f t="shared" si="255"/>
        <v>165686134454.63724</v>
      </c>
      <c r="F164" s="156">
        <f t="shared" si="255"/>
        <v>170656718488.27634</v>
      </c>
      <c r="G164" s="156">
        <f t="shared" si="255"/>
        <v>175776420042.92462</v>
      </c>
      <c r="H164" s="156">
        <f t="shared" si="255"/>
        <v>181049712644.21234</v>
      </c>
      <c r="I164" s="156">
        <f t="shared" si="255"/>
        <v>186481204023.53876</v>
      </c>
      <c r="J164" s="156">
        <f t="shared" si="255"/>
        <v>192075640144.2449</v>
      </c>
      <c r="K164" s="156">
        <f t="shared" si="255"/>
        <v>197837909348.57227</v>
      </c>
      <c r="L164" s="156">
        <f t="shared" si="255"/>
        <v>203773046629.02942</v>
      </c>
      <c r="M164" s="156">
        <f t="shared" si="255"/>
        <v>209886238027.90033</v>
      </c>
    </row>
    <row r="165" spans="1:13" ht="26.25">
      <c r="A165" s="8" t="s">
        <v>223</v>
      </c>
      <c r="B165" s="9" t="s">
        <v>224</v>
      </c>
      <c r="C165" s="156">
        <f t="shared" ref="C165:M165" si="256">C48+C154+C158-C64-C127</f>
        <v>145504715002</v>
      </c>
      <c r="D165" s="156">
        <f t="shared" si="256"/>
        <v>149959048118.34</v>
      </c>
      <c r="E165" s="156">
        <f t="shared" si="256"/>
        <v>154985347394.79608</v>
      </c>
      <c r="F165" s="156">
        <f t="shared" si="256"/>
        <v>159566057603.52002</v>
      </c>
      <c r="G165" s="156">
        <f t="shared" si="256"/>
        <v>164286561762.49561</v>
      </c>
      <c r="H165" s="156">
        <f t="shared" si="256"/>
        <v>169151053690.23047</v>
      </c>
      <c r="I165" s="156">
        <f t="shared" si="256"/>
        <v>174163853019.78735</v>
      </c>
      <c r="J165" s="156">
        <f t="shared" si="256"/>
        <v>179707647320.22101</v>
      </c>
      <c r="K165" s="156">
        <f t="shared" si="256"/>
        <v>185468097043.24768</v>
      </c>
      <c r="L165" s="156">
        <f t="shared" si="256"/>
        <v>191032139954.5451</v>
      </c>
      <c r="M165" s="156">
        <f t="shared" si="256"/>
        <v>196763104153.18143</v>
      </c>
    </row>
    <row r="166" spans="1:13" ht="26.25">
      <c r="A166" s="6" t="s">
        <v>225</v>
      </c>
      <c r="B166" s="7" t="s">
        <v>226</v>
      </c>
      <c r="C166" s="153">
        <f t="shared" ref="C166" si="257">C164-C165</f>
        <v>10455342506</v>
      </c>
      <c r="D166" s="153">
        <f t="shared" ref="D166" si="258">D164-D165</f>
        <v>10901276594.899994</v>
      </c>
      <c r="E166" s="153">
        <f t="shared" ref="E166" si="259">E164-E165</f>
        <v>10700787059.841156</v>
      </c>
      <c r="F166" s="153">
        <f t="shared" ref="F166" si="260">F164-F165</f>
        <v>11090660884.756317</v>
      </c>
      <c r="G166" s="153">
        <f t="shared" ref="G166" si="261">G164-G165</f>
        <v>11489858280.429016</v>
      </c>
      <c r="H166" s="153">
        <f t="shared" ref="H166" si="262">H164-H165</f>
        <v>11898658953.981873</v>
      </c>
      <c r="I166" s="153">
        <f t="shared" ref="I166" si="263">I164-I165</f>
        <v>12317351003.751404</v>
      </c>
      <c r="J166" s="153">
        <f t="shared" ref="J166" si="264">J164-J165</f>
        <v>12367992824.023895</v>
      </c>
      <c r="K166" s="153">
        <f t="shared" ref="K166" si="265">K164-K165</f>
        <v>12369812305.324585</v>
      </c>
      <c r="L166" s="153">
        <f t="shared" ref="L166" si="266">L164-L165</f>
        <v>12740906674.484314</v>
      </c>
      <c r="M166" s="153">
        <f t="shared" ref="M166" si="267">M164-M165</f>
        <v>13123133874.718903</v>
      </c>
    </row>
    <row r="167" spans="1:13">
      <c r="A167" s="17">
        <v>2</v>
      </c>
      <c r="B167" s="19" t="s">
        <v>227</v>
      </c>
      <c r="C167" s="155"/>
      <c r="D167" s="155"/>
      <c r="E167" s="155"/>
      <c r="F167" s="155"/>
      <c r="G167" s="155"/>
      <c r="H167" s="155"/>
      <c r="I167" s="155"/>
      <c r="J167" s="155"/>
      <c r="K167" s="155"/>
      <c r="L167" s="155"/>
      <c r="M167" s="155"/>
    </row>
    <row r="168" spans="1:13">
      <c r="A168" s="6" t="s">
        <v>228</v>
      </c>
      <c r="B168" s="7" t="s">
        <v>229</v>
      </c>
      <c r="C168" s="153">
        <f t="shared" ref="C168:M168" si="268">C96-C64-C127</f>
        <v>-8975342506</v>
      </c>
      <c r="D168" s="153">
        <f t="shared" si="268"/>
        <v>-9421276594.8999977</v>
      </c>
      <c r="E168" s="153">
        <f t="shared" si="268"/>
        <v>-9220787059.8411407</v>
      </c>
      <c r="F168" s="153">
        <f t="shared" si="268"/>
        <v>-9610660884.7563171</v>
      </c>
      <c r="G168" s="153">
        <f t="shared" si="268"/>
        <v>-10009858280.429031</v>
      </c>
      <c r="H168" s="153">
        <f t="shared" si="268"/>
        <v>-10418658953.981857</v>
      </c>
      <c r="I168" s="153">
        <f t="shared" si="268"/>
        <v>-10837351003.751408</v>
      </c>
      <c r="J168" s="153">
        <f t="shared" si="268"/>
        <v>-11627992824.02389</v>
      </c>
      <c r="K168" s="153">
        <f t="shared" si="268"/>
        <v>-12369812305.324587</v>
      </c>
      <c r="L168" s="153">
        <f t="shared" si="268"/>
        <v>-12740906674.484318</v>
      </c>
      <c r="M168" s="153">
        <f t="shared" si="268"/>
        <v>-13123133874.718899</v>
      </c>
    </row>
    <row r="169" spans="1:13" ht="26.25">
      <c r="A169" s="20" t="s">
        <v>230</v>
      </c>
      <c r="B169" s="21" t="s">
        <v>231</v>
      </c>
      <c r="C169" s="157"/>
      <c r="D169" s="157"/>
      <c r="E169" s="157"/>
      <c r="F169" s="157"/>
      <c r="G169" s="157"/>
      <c r="H169" s="157"/>
      <c r="I169" s="157"/>
      <c r="J169" s="157"/>
      <c r="K169" s="157"/>
      <c r="L169" s="157"/>
      <c r="M169" s="157"/>
    </row>
    <row r="170" spans="1:13">
      <c r="A170" s="6" t="s">
        <v>232</v>
      </c>
      <c r="B170" s="7" t="s">
        <v>233</v>
      </c>
      <c r="C170" s="158">
        <f t="shared" ref="C170:M170" si="269">C4+C155+C158</f>
        <v>155960057508</v>
      </c>
      <c r="D170" s="158">
        <f t="shared" si="269"/>
        <v>160860324713.23999</v>
      </c>
      <c r="E170" s="158">
        <f t="shared" si="269"/>
        <v>165686134454.63724</v>
      </c>
      <c r="F170" s="158">
        <f t="shared" si="269"/>
        <v>170656718488.27634</v>
      </c>
      <c r="G170" s="158">
        <f t="shared" si="269"/>
        <v>175776420042.92462</v>
      </c>
      <c r="H170" s="158">
        <f t="shared" si="269"/>
        <v>181049712644.21234</v>
      </c>
      <c r="I170" s="158">
        <f t="shared" si="269"/>
        <v>186481204023.53876</v>
      </c>
      <c r="J170" s="158">
        <f t="shared" si="269"/>
        <v>192075640144.2449</v>
      </c>
      <c r="K170" s="158">
        <f t="shared" si="269"/>
        <v>197837909348.57227</v>
      </c>
      <c r="L170" s="158">
        <f t="shared" si="269"/>
        <v>203773046629.02942</v>
      </c>
      <c r="M170" s="158">
        <f t="shared" si="269"/>
        <v>209886238027.90033</v>
      </c>
    </row>
    <row r="171" spans="1:13">
      <c r="A171" s="6" t="s">
        <v>234</v>
      </c>
      <c r="B171" s="7" t="s">
        <v>235</v>
      </c>
      <c r="C171" s="153">
        <f t="shared" ref="C171:M171" si="270">C48+C156+C159</f>
        <v>155960057508</v>
      </c>
      <c r="D171" s="153">
        <f t="shared" si="270"/>
        <v>160860324713.23999</v>
      </c>
      <c r="E171" s="153">
        <f t="shared" si="270"/>
        <v>165686134454.63724</v>
      </c>
      <c r="F171" s="153">
        <f t="shared" si="270"/>
        <v>170656718488.27634</v>
      </c>
      <c r="G171" s="153">
        <f t="shared" si="270"/>
        <v>175776420042.92462</v>
      </c>
      <c r="H171" s="153">
        <f t="shared" si="270"/>
        <v>181049712644.21234</v>
      </c>
      <c r="I171" s="153">
        <f t="shared" si="270"/>
        <v>186481204023.53876</v>
      </c>
      <c r="J171" s="153">
        <f t="shared" si="270"/>
        <v>192075640144.2449</v>
      </c>
      <c r="K171" s="153">
        <f t="shared" si="270"/>
        <v>197837909348.57227</v>
      </c>
      <c r="L171" s="153">
        <f t="shared" si="270"/>
        <v>203773046629.02942</v>
      </c>
      <c r="M171" s="153">
        <f t="shared" si="270"/>
        <v>209886238027.90033</v>
      </c>
    </row>
    <row r="172" spans="1:13" ht="13.5" customHeight="1" thickBot="1">
      <c r="A172" s="22" t="s">
        <v>236</v>
      </c>
      <c r="B172" s="23" t="s">
        <v>237</v>
      </c>
      <c r="C172" s="159">
        <f t="shared" ref="C172" si="271">C170-C171</f>
        <v>0</v>
      </c>
      <c r="D172" s="159">
        <f t="shared" ref="D172" si="272">D170-D171</f>
        <v>0</v>
      </c>
      <c r="E172" s="159">
        <f t="shared" ref="E172" si="273">E170-E171</f>
        <v>0</v>
      </c>
      <c r="F172" s="159">
        <f t="shared" ref="F172" si="274">F170-F171</f>
        <v>0</v>
      </c>
      <c r="G172" s="159">
        <f t="shared" ref="G172" si="275">G170-G171</f>
        <v>0</v>
      </c>
      <c r="H172" s="159">
        <f t="shared" ref="H172" si="276">H170-H171</f>
        <v>0</v>
      </c>
      <c r="I172" s="159">
        <f t="shared" ref="I172" si="277">I170-I171</f>
        <v>0</v>
      </c>
      <c r="J172" s="159">
        <f t="shared" ref="J172" si="278">J170-J171</f>
        <v>0</v>
      </c>
      <c r="K172" s="159">
        <f t="shared" ref="K172" si="279">K170-K171</f>
        <v>0</v>
      </c>
      <c r="L172" s="159">
        <f t="shared" ref="L172" si="280">L170-L171</f>
        <v>0</v>
      </c>
      <c r="M172" s="159">
        <f t="shared" ref="M172" si="281">M170-M171</f>
        <v>0</v>
      </c>
    </row>
    <row r="174" spans="1:13" ht="15.75" thickBot="1">
      <c r="A174" s="22"/>
      <c r="B174" s="23" t="s">
        <v>480</v>
      </c>
      <c r="C174" s="159">
        <f>5550000000-C156</f>
        <v>4810000000</v>
      </c>
      <c r="D174" s="159">
        <f t="shared" ref="D174:E174" si="282">+C174-D156-D159</f>
        <v>4070000000</v>
      </c>
      <c r="E174" s="159">
        <f t="shared" si="282"/>
        <v>3330000000</v>
      </c>
      <c r="F174" s="159">
        <f t="shared" ref="F174" si="283">+E174-F156-F159</f>
        <v>2590000000</v>
      </c>
      <c r="G174" s="159">
        <f t="shared" ref="G174" si="284">+F174-G156-G159</f>
        <v>1850000000</v>
      </c>
      <c r="H174" s="159">
        <f t="shared" ref="H174:M174" si="285">+G174-H156-H159</f>
        <v>1110000000</v>
      </c>
      <c r="I174" s="159">
        <f t="shared" si="285"/>
        <v>370000000</v>
      </c>
      <c r="J174" s="159">
        <f t="shared" si="285"/>
        <v>0</v>
      </c>
      <c r="K174" s="159">
        <f t="shared" si="285"/>
        <v>0</v>
      </c>
      <c r="L174" s="159">
        <f t="shared" si="285"/>
        <v>0</v>
      </c>
      <c r="M174" s="159">
        <f t="shared" si="285"/>
        <v>0</v>
      </c>
    </row>
    <row r="176" spans="1:13">
      <c r="D176" s="160"/>
      <c r="E176" s="160"/>
      <c r="F176" s="160"/>
      <c r="G176" s="160"/>
      <c r="H176" s="160"/>
      <c r="I176" s="160"/>
      <c r="J176" s="160"/>
      <c r="K176" s="160"/>
      <c r="L176" s="160"/>
      <c r="M176" s="160"/>
    </row>
    <row r="177" spans="2:14" ht="26.25">
      <c r="B177" s="2" t="s">
        <v>566</v>
      </c>
      <c r="D177" s="160">
        <f t="shared" ref="D177:M177" si="286">SUM(D7+D8+D13+D17+D19+D20+D24)</f>
        <v>15393957445.720001</v>
      </c>
      <c r="E177" s="160">
        <f t="shared" si="286"/>
        <v>15855776169.091602</v>
      </c>
      <c r="F177" s="160">
        <f t="shared" si="286"/>
        <v>16331449454.164349</v>
      </c>
      <c r="G177" s="160">
        <f t="shared" si="286"/>
        <v>16821392937.789282</v>
      </c>
      <c r="H177" s="160">
        <f t="shared" si="286"/>
        <v>17326034725.922958</v>
      </c>
      <c r="I177" s="160">
        <f t="shared" si="286"/>
        <v>17845815767.700645</v>
      </c>
      <c r="J177" s="160">
        <f t="shared" si="286"/>
        <v>18381190240.73167</v>
      </c>
      <c r="K177" s="160">
        <f t="shared" si="286"/>
        <v>18932625947.953617</v>
      </c>
      <c r="L177" s="160">
        <f t="shared" si="286"/>
        <v>19500604726.392227</v>
      </c>
      <c r="M177" s="160">
        <f t="shared" si="286"/>
        <v>20085622868.183994</v>
      </c>
    </row>
    <row r="178" spans="2:14">
      <c r="D178" s="160" t="e">
        <f>SUM(D51+D52+D53+D71+D78+#REF!+#REF!+D131+D132+D134+D136+D144+D145+D146)</f>
        <v>#REF!</v>
      </c>
      <c r="E178" s="160" t="e">
        <f>SUM(E51+E52+E53+E71+E78+#REF!+#REF!+E131+E132+E134+E136+E144+E145+E146)</f>
        <v>#REF!</v>
      </c>
      <c r="F178" s="160" t="e">
        <f>SUM(F51+F52+F53+F71+F78+#REF!+#REF!+F131+F132+F134+F136+F144+F145+F146)</f>
        <v>#REF!</v>
      </c>
      <c r="G178" s="160" t="e">
        <f>SUM(G51+G52+G53+G71+G78+#REF!+#REF!+G131+G132+G134+G136+G144+G145+G146)</f>
        <v>#REF!</v>
      </c>
      <c r="H178" s="160" t="e">
        <f>SUM(H51+H52+H53+H71+H78+#REF!+#REF!+H131+H132+H134+H136+H144+H145+H146)</f>
        <v>#REF!</v>
      </c>
      <c r="I178" s="160" t="e">
        <f>SUM(I51+I52+I53+I71+I78+#REF!+#REF!+I131+I132+I134+I136+I144+I145+I146)</f>
        <v>#REF!</v>
      </c>
      <c r="J178" s="160" t="e">
        <f>SUM(J51+J52+J53+J71+J78+#REF!+#REF!+J131+J132+J134+J136+J144+J145+J146)</f>
        <v>#REF!</v>
      </c>
      <c r="K178" s="160" t="e">
        <f>SUM(K51+K52+K53+K71+K78+#REF!+#REF!+K131+K132+K134+K136+K144+K145+K146)</f>
        <v>#REF!</v>
      </c>
      <c r="L178" s="160" t="e">
        <f>SUM(L51+L52+L53+L71+L78+#REF!+#REF!+L131+L132+L134+L136+L144+L145+L146)</f>
        <v>#REF!</v>
      </c>
      <c r="M178" s="160" t="e">
        <f>SUM(M51+M52+M53+M71+M78+#REF!+#REF!+M131+M132+M134+M136+M144+M145+M146)</f>
        <v>#REF!</v>
      </c>
    </row>
    <row r="179" spans="2:14">
      <c r="D179" s="160" t="e">
        <f>SUM(D177-D178)</f>
        <v>#REF!</v>
      </c>
      <c r="E179" s="160" t="e">
        <f t="shared" ref="E179:M179" si="287">SUM(E177-E178)</f>
        <v>#REF!</v>
      </c>
      <c r="F179" s="160" t="e">
        <f t="shared" si="287"/>
        <v>#REF!</v>
      </c>
      <c r="G179" s="160" t="e">
        <f t="shared" si="287"/>
        <v>#REF!</v>
      </c>
      <c r="H179" s="160" t="e">
        <f t="shared" si="287"/>
        <v>#REF!</v>
      </c>
      <c r="I179" s="160" t="e">
        <f t="shared" si="287"/>
        <v>#REF!</v>
      </c>
      <c r="J179" s="160" t="e">
        <f t="shared" si="287"/>
        <v>#REF!</v>
      </c>
      <c r="K179" s="160" t="e">
        <f t="shared" si="287"/>
        <v>#REF!</v>
      </c>
      <c r="L179" s="160" t="e">
        <f t="shared" si="287"/>
        <v>#REF!</v>
      </c>
      <c r="M179" s="160" t="e">
        <f t="shared" si="287"/>
        <v>#REF!</v>
      </c>
    </row>
    <row r="180" spans="2:14">
      <c r="D180" s="160"/>
      <c r="E180" s="160"/>
      <c r="F180" s="160"/>
      <c r="G180" s="160"/>
      <c r="H180" s="160"/>
      <c r="I180" s="160"/>
      <c r="J180" s="160"/>
      <c r="K180" s="160"/>
      <c r="L180" s="160"/>
      <c r="M180" s="160"/>
    </row>
    <row r="181" spans="2:14">
      <c r="B181" s="2" t="s">
        <v>561</v>
      </c>
      <c r="D181" s="160">
        <f t="shared" ref="D181:M181" si="288">SUM(D42)</f>
        <v>2749640319.2400002</v>
      </c>
      <c r="E181" s="160">
        <f t="shared" si="288"/>
        <v>2832129528.8172002</v>
      </c>
      <c r="F181" s="160">
        <f t="shared" si="288"/>
        <v>2917093414.6817164</v>
      </c>
      <c r="G181" s="160">
        <f t="shared" si="288"/>
        <v>3004606217.1221681</v>
      </c>
      <c r="H181" s="160">
        <f t="shared" si="288"/>
        <v>3094744403.6358333</v>
      </c>
      <c r="I181" s="160">
        <f t="shared" si="288"/>
        <v>3187586735.7449083</v>
      </c>
      <c r="J181" s="160">
        <f t="shared" si="288"/>
        <v>3283214337.8172555</v>
      </c>
      <c r="K181" s="160">
        <f t="shared" si="288"/>
        <v>3381710767.9517732</v>
      </c>
      <c r="L181" s="160">
        <f t="shared" si="288"/>
        <v>3483162090.9903264</v>
      </c>
      <c r="M181" s="160">
        <f t="shared" si="288"/>
        <v>3587656953.7200365</v>
      </c>
    </row>
    <row r="182" spans="2:14">
      <c r="D182" s="160">
        <f t="shared" ref="D182:M182" si="289">SUM(D79+D84+D106+D112+D119+D125+D129+D133+D137+D139+D142)</f>
        <v>6762936111.6999998</v>
      </c>
      <c r="E182" s="160">
        <f t="shared" si="289"/>
        <v>6965824195.0510006</v>
      </c>
      <c r="F182" s="160">
        <f t="shared" si="289"/>
        <v>7174798920.9025297</v>
      </c>
      <c r="G182" s="160">
        <f t="shared" si="289"/>
        <v>7390042888.5296059</v>
      </c>
      <c r="H182" s="160">
        <f t="shared" si="289"/>
        <v>7611744175.1854935</v>
      </c>
      <c r="I182" s="160">
        <f t="shared" si="289"/>
        <v>7840096500.4410591</v>
      </c>
      <c r="J182" s="160">
        <f t="shared" si="289"/>
        <v>8075299395.4542923</v>
      </c>
      <c r="K182" s="160">
        <f t="shared" si="289"/>
        <v>8317558377.3179207</v>
      </c>
      <c r="L182" s="160">
        <f t="shared" si="289"/>
        <v>8567085128.6374578</v>
      </c>
      <c r="M182" s="160">
        <f t="shared" si="289"/>
        <v>8824097682.4965801</v>
      </c>
    </row>
    <row r="183" spans="2:14">
      <c r="D183" s="160"/>
      <c r="E183" s="160"/>
      <c r="F183" s="160"/>
      <c r="G183" s="160"/>
      <c r="H183" s="160"/>
      <c r="I183" s="160"/>
      <c r="J183" s="160"/>
      <c r="K183" s="160"/>
      <c r="L183" s="160"/>
      <c r="M183" s="160"/>
    </row>
    <row r="184" spans="2:14" ht="26.25">
      <c r="B184" s="2" t="s">
        <v>565</v>
      </c>
      <c r="D184" s="160">
        <f t="shared" ref="D184:M184" si="290">SUM(D14)</f>
        <v>988335534.88999999</v>
      </c>
      <c r="E184" s="160">
        <f t="shared" si="290"/>
        <v>1017985600.9367</v>
      </c>
      <c r="F184" s="160">
        <f t="shared" si="290"/>
        <v>1048525168.964801</v>
      </c>
      <c r="G184" s="160">
        <f t="shared" si="290"/>
        <v>1079980924.0337451</v>
      </c>
      <c r="H184" s="160">
        <f t="shared" si="290"/>
        <v>1112380351.7547574</v>
      </c>
      <c r="I184" s="160">
        <f t="shared" si="290"/>
        <v>1145751762.3074002</v>
      </c>
      <c r="J184" s="160">
        <f t="shared" si="290"/>
        <v>1180124315.1766222</v>
      </c>
      <c r="K184" s="160">
        <f t="shared" si="290"/>
        <v>1215528044.6319208</v>
      </c>
      <c r="L184" s="160">
        <f t="shared" si="290"/>
        <v>1251993885.9708784</v>
      </c>
      <c r="M184" s="160">
        <f t="shared" si="290"/>
        <v>1289553702.5500047</v>
      </c>
    </row>
    <row r="185" spans="2:14">
      <c r="D185" s="160" t="e">
        <f>SUM(D121+D126+#REF!+D140+D143)</f>
        <v>#REF!</v>
      </c>
      <c r="E185" s="160" t="e">
        <f>SUM(E121+E126+#REF!+E140+E143)</f>
        <v>#REF!</v>
      </c>
      <c r="F185" s="160" t="e">
        <f>SUM(F121+F126+#REF!+F140+F143)</f>
        <v>#REF!</v>
      </c>
      <c r="G185" s="160" t="e">
        <f>SUM(G121+G126+#REF!+G140+G143)</f>
        <v>#REF!</v>
      </c>
      <c r="H185" s="160" t="e">
        <f>SUM(H121+H126+#REF!+H140+H143)</f>
        <v>#REF!</v>
      </c>
      <c r="I185" s="160" t="e">
        <f>SUM(I121+I126+#REF!+I140+I143)</f>
        <v>#REF!</v>
      </c>
      <c r="J185" s="160" t="e">
        <f>SUM(J121+J126+#REF!+J140+J143)</f>
        <v>#REF!</v>
      </c>
      <c r="K185" s="160" t="e">
        <f>SUM(K121+K126+#REF!+K140+K143)</f>
        <v>#REF!</v>
      </c>
      <c r="L185" s="160" t="e">
        <f>SUM(L121+L126+#REF!+L140+L143)</f>
        <v>#REF!</v>
      </c>
      <c r="M185" s="160" t="e">
        <f>SUM(M121+M126+#REF!+M140+M143)</f>
        <v>#REF!</v>
      </c>
      <c r="N185" s="160"/>
    </row>
    <row r="186" spans="2:14">
      <c r="D186" s="160"/>
      <c r="E186" s="160"/>
      <c r="F186" s="160"/>
      <c r="G186" s="160"/>
      <c r="H186" s="160"/>
      <c r="I186" s="160"/>
      <c r="J186" s="160"/>
      <c r="K186" s="160"/>
      <c r="L186" s="160"/>
      <c r="M186" s="160"/>
    </row>
    <row r="187" spans="2:14">
      <c r="B187" s="2" t="s">
        <v>560</v>
      </c>
      <c r="D187" s="160">
        <f t="shared" ref="D187:M187" si="291">SUM(D41)</f>
        <v>3718664687.98</v>
      </c>
      <c r="E187" s="160">
        <f t="shared" si="291"/>
        <v>3830224628.6194</v>
      </c>
      <c r="F187" s="160">
        <f t="shared" si="291"/>
        <v>3945131367.477982</v>
      </c>
      <c r="G187" s="160">
        <f t="shared" si="291"/>
        <v>4063485308.5023217</v>
      </c>
      <c r="H187" s="160">
        <f t="shared" si="291"/>
        <v>4185389867.7573915</v>
      </c>
      <c r="I187" s="160">
        <f t="shared" si="291"/>
        <v>4310951563.7901134</v>
      </c>
      <c r="J187" s="160">
        <f t="shared" si="291"/>
        <v>4440280110.7038174</v>
      </c>
      <c r="K187" s="160">
        <f t="shared" si="291"/>
        <v>4573488514.0249319</v>
      </c>
      <c r="L187" s="160">
        <f t="shared" si="291"/>
        <v>4710693169.4456797</v>
      </c>
      <c r="M187" s="160">
        <f t="shared" si="291"/>
        <v>4852013964.5290499</v>
      </c>
    </row>
    <row r="188" spans="2:14">
      <c r="B188" s="210"/>
      <c r="C188" s="211"/>
      <c r="D188" s="212" t="e">
        <f>SUM(D82+D117+#REF!)</f>
        <v>#REF!</v>
      </c>
      <c r="E188" s="212" t="e">
        <f>SUM(E82+E117+#REF!)</f>
        <v>#REF!</v>
      </c>
      <c r="F188" s="212" t="e">
        <f>SUM(F82+F117+#REF!)</f>
        <v>#REF!</v>
      </c>
      <c r="G188" s="212" t="e">
        <f>SUM(G82+G117+#REF!)</f>
        <v>#REF!</v>
      </c>
      <c r="H188" s="212" t="e">
        <f>SUM(H82+H117+#REF!)</f>
        <v>#REF!</v>
      </c>
      <c r="I188" s="212" t="e">
        <f>SUM(I82+I117+#REF!)</f>
        <v>#REF!</v>
      </c>
      <c r="J188" s="212" t="e">
        <f>SUM(J82+J117+#REF!)</f>
        <v>#REF!</v>
      </c>
      <c r="K188" s="212" t="e">
        <f>SUM(K82+K117+#REF!)</f>
        <v>#REF!</v>
      </c>
      <c r="L188" s="212" t="e">
        <f>SUM(L82+L117+#REF!)</f>
        <v>#REF!</v>
      </c>
      <c r="M188" s="212" t="e">
        <f>SUM(M82+M117+#REF!)</f>
        <v>#REF!</v>
      </c>
    </row>
    <row r="189" spans="2:14">
      <c r="B189" s="210"/>
      <c r="C189" s="211"/>
      <c r="D189" s="212"/>
      <c r="E189" s="212"/>
      <c r="F189" s="212"/>
      <c r="G189" s="212"/>
      <c r="H189" s="213"/>
      <c r="I189" s="213"/>
      <c r="J189" s="213"/>
      <c r="K189" s="213"/>
      <c r="L189" s="213"/>
      <c r="M189" s="213"/>
    </row>
    <row r="190" spans="2:14">
      <c r="B190" s="210" t="s">
        <v>562</v>
      </c>
      <c r="C190" s="211"/>
      <c r="D190" s="212">
        <f t="shared" ref="D190:M190" si="292">SUM(D38)</f>
        <v>23348164123.240002</v>
      </c>
      <c r="E190" s="212">
        <f t="shared" si="292"/>
        <v>24048609046.937202</v>
      </c>
      <c r="F190" s="212">
        <f t="shared" si="292"/>
        <v>24770067318.345318</v>
      </c>
      <c r="G190" s="212">
        <f t="shared" si="292"/>
        <v>25513169337.895679</v>
      </c>
      <c r="H190" s="212">
        <f t="shared" si="292"/>
        <v>26278564418.032547</v>
      </c>
      <c r="I190" s="212">
        <f t="shared" si="292"/>
        <v>27066921350.573528</v>
      </c>
      <c r="J190" s="212">
        <f t="shared" si="292"/>
        <v>27878928991.090733</v>
      </c>
      <c r="K190" s="212">
        <f t="shared" si="292"/>
        <v>28715296860.823456</v>
      </c>
      <c r="L190" s="212">
        <f t="shared" si="292"/>
        <v>29576755766.648159</v>
      </c>
      <c r="M190" s="212">
        <f t="shared" si="292"/>
        <v>30464058439.647602</v>
      </c>
    </row>
    <row r="191" spans="2:14">
      <c r="B191" s="210"/>
      <c r="C191" s="211"/>
      <c r="D191" s="212">
        <f t="shared" ref="D191:M191" si="293">SUM(D75+D114)</f>
        <v>23348164123.240002</v>
      </c>
      <c r="E191" s="212">
        <f t="shared" si="293"/>
        <v>23936947606.461903</v>
      </c>
      <c r="F191" s="212">
        <f t="shared" si="293"/>
        <v>24655056034.655758</v>
      </c>
      <c r="G191" s="212">
        <f t="shared" si="293"/>
        <v>25394707715.695435</v>
      </c>
      <c r="H191" s="212">
        <f t="shared" si="293"/>
        <v>26156548947.166294</v>
      </c>
      <c r="I191" s="212">
        <f t="shared" si="293"/>
        <v>26941245415.581287</v>
      </c>
      <c r="J191" s="212">
        <f t="shared" si="293"/>
        <v>27749482778.048725</v>
      </c>
      <c r="K191" s="212">
        <f t="shared" si="293"/>
        <v>28581967261.390186</v>
      </c>
      <c r="L191" s="212">
        <f t="shared" si="293"/>
        <v>29439426279.231892</v>
      </c>
      <c r="M191" s="212">
        <f t="shared" si="293"/>
        <v>30322609067.608845</v>
      </c>
    </row>
    <row r="192" spans="2:14">
      <c r="B192" s="210"/>
      <c r="C192" s="211"/>
      <c r="D192" s="212"/>
      <c r="E192" s="212"/>
      <c r="F192" s="212"/>
      <c r="G192" s="212"/>
      <c r="H192" s="213"/>
      <c r="I192" s="213"/>
      <c r="J192" s="213"/>
      <c r="K192" s="213"/>
      <c r="L192" s="213"/>
      <c r="M192" s="213"/>
    </row>
    <row r="193" spans="2:13">
      <c r="B193" s="210" t="s">
        <v>563</v>
      </c>
      <c r="C193" s="211"/>
      <c r="D193" s="212">
        <f t="shared" ref="D193:M193" si="294">SUM(D33)</f>
        <v>75384660433.360001</v>
      </c>
      <c r="E193" s="212">
        <f t="shared" si="294"/>
        <v>77646200246.360809</v>
      </c>
      <c r="F193" s="212">
        <f t="shared" si="294"/>
        <v>79975586253.751633</v>
      </c>
      <c r="G193" s="212">
        <f t="shared" si="294"/>
        <v>82374853841.364182</v>
      </c>
      <c r="H193" s="212">
        <f t="shared" si="294"/>
        <v>84846099456.605118</v>
      </c>
      <c r="I193" s="212">
        <f t="shared" si="294"/>
        <v>87391482440.303268</v>
      </c>
      <c r="J193" s="212">
        <f t="shared" si="294"/>
        <v>90013226913.512375</v>
      </c>
      <c r="K193" s="212">
        <f t="shared" si="294"/>
        <v>92713623720.917755</v>
      </c>
      <c r="L193" s="212">
        <f t="shared" si="294"/>
        <v>95495032432.545288</v>
      </c>
      <c r="M193" s="212">
        <f t="shared" si="294"/>
        <v>98359883405.521637</v>
      </c>
    </row>
    <row r="194" spans="2:13">
      <c r="B194" s="210"/>
      <c r="C194" s="211"/>
      <c r="D194" s="212">
        <f t="shared" ref="D194:M194" si="295">SUM(D72+D73+D105+D111+D107)</f>
        <v>79244435044.089996</v>
      </c>
      <c r="E194" s="212">
        <f t="shared" si="295"/>
        <v>81621768095.412704</v>
      </c>
      <c r="F194" s="212">
        <f t="shared" si="295"/>
        <v>84070421138.275085</v>
      </c>
      <c r="G194" s="212">
        <f t="shared" si="295"/>
        <v>86592533772.42334</v>
      </c>
      <c r="H194" s="212">
        <f t="shared" si="295"/>
        <v>89190309785.596054</v>
      </c>
      <c r="I194" s="212">
        <f t="shared" si="295"/>
        <v>91866019079.163925</v>
      </c>
      <c r="J194" s="212">
        <f t="shared" si="295"/>
        <v>94621999651.538864</v>
      </c>
      <c r="K194" s="212">
        <f t="shared" si="295"/>
        <v>97460659641.085037</v>
      </c>
      <c r="L194" s="212">
        <f t="shared" si="295"/>
        <v>100384479430.31758</v>
      </c>
      <c r="M194" s="212">
        <f t="shared" si="295"/>
        <v>103396013813.2271</v>
      </c>
    </row>
    <row r="195" spans="2:13">
      <c r="B195" s="210"/>
      <c r="C195" s="211"/>
      <c r="D195" s="212"/>
      <c r="E195" s="212"/>
      <c r="F195" s="212"/>
      <c r="G195" s="212"/>
      <c r="H195" s="212"/>
      <c r="I195" s="212"/>
      <c r="J195" s="212"/>
      <c r="K195" s="212"/>
      <c r="L195" s="212"/>
      <c r="M195" s="212"/>
    </row>
    <row r="196" spans="2:13">
      <c r="B196" s="210" t="s">
        <v>564</v>
      </c>
      <c r="C196" s="211"/>
      <c r="D196" s="212">
        <f t="shared" ref="D196:M196" si="296">SUM(D90)</f>
        <v>0</v>
      </c>
      <c r="E196" s="212">
        <f t="shared" si="296"/>
        <v>0</v>
      </c>
      <c r="F196" s="212">
        <f t="shared" si="296"/>
        <v>0</v>
      </c>
      <c r="G196" s="212">
        <f t="shared" si="296"/>
        <v>0</v>
      </c>
      <c r="H196" s="212">
        <f t="shared" si="296"/>
        <v>0</v>
      </c>
      <c r="I196" s="212">
        <f t="shared" si="296"/>
        <v>0</v>
      </c>
      <c r="J196" s="212">
        <f t="shared" si="296"/>
        <v>0</v>
      </c>
      <c r="K196" s="212">
        <f t="shared" si="296"/>
        <v>0</v>
      </c>
      <c r="L196" s="212">
        <f t="shared" si="296"/>
        <v>0</v>
      </c>
      <c r="M196" s="212">
        <f t="shared" si="296"/>
        <v>0</v>
      </c>
    </row>
    <row r="197" spans="2:13">
      <c r="B197" s="210"/>
      <c r="C197" s="211"/>
      <c r="D197" s="212" t="e">
        <f>SUM(D108+#REF!+#REF!+D77)</f>
        <v>#REF!</v>
      </c>
      <c r="E197" s="212" t="e">
        <f>SUM(E108+#REF!+#REF!+E77)</f>
        <v>#REF!</v>
      </c>
      <c r="F197" s="212" t="e">
        <f>SUM(F108+#REF!+#REF!+F77)</f>
        <v>#REF!</v>
      </c>
      <c r="G197" s="212" t="e">
        <f>SUM(G108+#REF!+#REF!+G77)</f>
        <v>#REF!</v>
      </c>
      <c r="H197" s="212" t="e">
        <f>SUM(H108+#REF!+#REF!+H77)</f>
        <v>#REF!</v>
      </c>
      <c r="I197" s="212" t="e">
        <f>SUM(I108+#REF!+#REF!+I77)</f>
        <v>#REF!</v>
      </c>
      <c r="J197" s="212" t="e">
        <f>SUM(J108+#REF!+#REF!+J77)</f>
        <v>#REF!</v>
      </c>
      <c r="K197" s="212" t="e">
        <f>SUM(K108+#REF!+#REF!+K77)</f>
        <v>#REF!</v>
      </c>
      <c r="L197" s="212" t="e">
        <f>SUM(L108+#REF!+#REF!+L77)</f>
        <v>#REF!</v>
      </c>
      <c r="M197" s="212" t="e">
        <f>SUM(M108+#REF!+#REF!+M77)</f>
        <v>#REF!</v>
      </c>
    </row>
    <row r="198" spans="2:13">
      <c r="B198" s="210"/>
      <c r="C198" s="211"/>
      <c r="D198" s="213"/>
      <c r="E198" s="213"/>
      <c r="F198" s="213"/>
      <c r="G198" s="213"/>
      <c r="H198" s="213"/>
      <c r="I198" s="213"/>
      <c r="J198" s="213"/>
      <c r="K198" s="213"/>
      <c r="L198" s="213"/>
      <c r="M198" s="213"/>
    </row>
    <row r="199" spans="2:13">
      <c r="B199" s="210"/>
      <c r="C199" s="211"/>
      <c r="D199" s="213"/>
      <c r="E199" s="213"/>
      <c r="F199" s="213"/>
      <c r="G199" s="213"/>
      <c r="H199" s="213"/>
      <c r="I199" s="213"/>
      <c r="J199" s="213"/>
      <c r="K199" s="213"/>
      <c r="L199" s="213"/>
      <c r="M199" s="213"/>
    </row>
    <row r="200" spans="2:13">
      <c r="B200" s="210"/>
      <c r="C200" s="211"/>
      <c r="D200" s="213"/>
      <c r="E200" s="213"/>
      <c r="F200" s="213"/>
      <c r="G200" s="213"/>
      <c r="H200" s="213"/>
      <c r="I200" s="213"/>
      <c r="J200" s="213"/>
      <c r="K200" s="213"/>
      <c r="L200" s="213"/>
      <c r="M200" s="213"/>
    </row>
  </sheetData>
  <mergeCells count="1">
    <mergeCell ref="A1:C1"/>
  </mergeCells>
  <pageMargins left="0.70866141732283472" right="0.70866141732283472" top="0.74803149606299213" bottom="0.74803149606299213" header="0.31496062992125984" footer="0.31496062992125984"/>
  <pageSetup scale="80"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opLeftCell="B32" zoomScale="120" zoomScaleNormal="120" workbookViewId="0">
      <selection activeCell="B56" sqref="B56"/>
    </sheetView>
  </sheetViews>
  <sheetFormatPr baseColWidth="10" defaultRowHeight="13.5"/>
  <cols>
    <col min="1" max="1" width="10.140625" style="43" hidden="1" customWidth="1"/>
    <col min="2" max="2" width="37.85546875" style="43" bestFit="1" customWidth="1"/>
    <col min="3" max="3" width="9.85546875" style="89" customWidth="1"/>
    <col min="4" max="4" width="9.85546875" style="56" customWidth="1"/>
    <col min="5" max="5" width="9.85546875" style="57" customWidth="1"/>
    <col min="6" max="13" width="9.85546875" style="43" customWidth="1"/>
    <col min="14" max="255" width="11.42578125" style="43"/>
    <col min="256" max="256" width="10.140625" style="43" bestFit="1" customWidth="1"/>
    <col min="257" max="257" width="54.5703125" style="43" customWidth="1"/>
    <col min="258" max="258" width="15.7109375" style="43" customWidth="1"/>
    <col min="259" max="259" width="14" style="43" customWidth="1"/>
    <col min="260" max="260" width="14.42578125" style="43" bestFit="1" customWidth="1"/>
    <col min="261" max="511" width="11.42578125" style="43"/>
    <col min="512" max="512" width="10.140625" style="43" bestFit="1" customWidth="1"/>
    <col min="513" max="513" width="54.5703125" style="43" customWidth="1"/>
    <col min="514" max="514" width="15.7109375" style="43" customWidth="1"/>
    <col min="515" max="515" width="14" style="43" customWidth="1"/>
    <col min="516" max="516" width="14.42578125" style="43" bestFit="1" customWidth="1"/>
    <col min="517" max="767" width="11.42578125" style="43"/>
    <col min="768" max="768" width="10.140625" style="43" bestFit="1" customWidth="1"/>
    <col min="769" max="769" width="54.5703125" style="43" customWidth="1"/>
    <col min="770" max="770" width="15.7109375" style="43" customWidth="1"/>
    <col min="771" max="771" width="14" style="43" customWidth="1"/>
    <col min="772" max="772" width="14.42578125" style="43" bestFit="1" customWidth="1"/>
    <col min="773" max="1023" width="11.42578125" style="43"/>
    <col min="1024" max="1024" width="10.140625" style="43" bestFit="1" customWidth="1"/>
    <col min="1025" max="1025" width="54.5703125" style="43" customWidth="1"/>
    <col min="1026" max="1026" width="15.7109375" style="43" customWidth="1"/>
    <col min="1027" max="1027" width="14" style="43" customWidth="1"/>
    <col min="1028" max="1028" width="14.42578125" style="43" bestFit="1" customWidth="1"/>
    <col min="1029" max="1279" width="11.42578125" style="43"/>
    <col min="1280" max="1280" width="10.140625" style="43" bestFit="1" customWidth="1"/>
    <col min="1281" max="1281" width="54.5703125" style="43" customWidth="1"/>
    <col min="1282" max="1282" width="15.7109375" style="43" customWidth="1"/>
    <col min="1283" max="1283" width="14" style="43" customWidth="1"/>
    <col min="1284" max="1284" width="14.42578125" style="43" bestFit="1" customWidth="1"/>
    <col min="1285" max="1535" width="11.42578125" style="43"/>
    <col min="1536" max="1536" width="10.140625" style="43" bestFit="1" customWidth="1"/>
    <col min="1537" max="1537" width="54.5703125" style="43" customWidth="1"/>
    <col min="1538" max="1538" width="15.7109375" style="43" customWidth="1"/>
    <col min="1539" max="1539" width="14" style="43" customWidth="1"/>
    <col min="1540" max="1540" width="14.42578125" style="43" bestFit="1" customWidth="1"/>
    <col min="1541" max="1791" width="11.42578125" style="43"/>
    <col min="1792" max="1792" width="10.140625" style="43" bestFit="1" customWidth="1"/>
    <col min="1793" max="1793" width="54.5703125" style="43" customWidth="1"/>
    <col min="1794" max="1794" width="15.7109375" style="43" customWidth="1"/>
    <col min="1795" max="1795" width="14" style="43" customWidth="1"/>
    <col min="1796" max="1796" width="14.42578125" style="43" bestFit="1" customWidth="1"/>
    <col min="1797" max="2047" width="11.42578125" style="43"/>
    <col min="2048" max="2048" width="10.140625" style="43" bestFit="1" customWidth="1"/>
    <col min="2049" max="2049" width="54.5703125" style="43" customWidth="1"/>
    <col min="2050" max="2050" width="15.7109375" style="43" customWidth="1"/>
    <col min="2051" max="2051" width="14" style="43" customWidth="1"/>
    <col min="2052" max="2052" width="14.42578125" style="43" bestFit="1" customWidth="1"/>
    <col min="2053" max="2303" width="11.42578125" style="43"/>
    <col min="2304" max="2304" width="10.140625" style="43" bestFit="1" customWidth="1"/>
    <col min="2305" max="2305" width="54.5703125" style="43" customWidth="1"/>
    <col min="2306" max="2306" width="15.7109375" style="43" customWidth="1"/>
    <col min="2307" max="2307" width="14" style="43" customWidth="1"/>
    <col min="2308" max="2308" width="14.42578125" style="43" bestFit="1" customWidth="1"/>
    <col min="2309" max="2559" width="11.42578125" style="43"/>
    <col min="2560" max="2560" width="10.140625" style="43" bestFit="1" customWidth="1"/>
    <col min="2561" max="2561" width="54.5703125" style="43" customWidth="1"/>
    <col min="2562" max="2562" width="15.7109375" style="43" customWidth="1"/>
    <col min="2563" max="2563" width="14" style="43" customWidth="1"/>
    <col min="2564" max="2564" width="14.42578125" style="43" bestFit="1" customWidth="1"/>
    <col min="2565" max="2815" width="11.42578125" style="43"/>
    <col min="2816" max="2816" width="10.140625" style="43" bestFit="1" customWidth="1"/>
    <col min="2817" max="2817" width="54.5703125" style="43" customWidth="1"/>
    <col min="2818" max="2818" width="15.7109375" style="43" customWidth="1"/>
    <col min="2819" max="2819" width="14" style="43" customWidth="1"/>
    <col min="2820" max="2820" width="14.42578125" style="43" bestFit="1" customWidth="1"/>
    <col min="2821" max="3071" width="11.42578125" style="43"/>
    <col min="3072" max="3072" width="10.140625" style="43" bestFit="1" customWidth="1"/>
    <col min="3073" max="3073" width="54.5703125" style="43" customWidth="1"/>
    <col min="3074" max="3074" width="15.7109375" style="43" customWidth="1"/>
    <col min="3075" max="3075" width="14" style="43" customWidth="1"/>
    <col min="3076" max="3076" width="14.42578125" style="43" bestFit="1" customWidth="1"/>
    <col min="3077" max="3327" width="11.42578125" style="43"/>
    <col min="3328" max="3328" width="10.140625" style="43" bestFit="1" customWidth="1"/>
    <col min="3329" max="3329" width="54.5703125" style="43" customWidth="1"/>
    <col min="3330" max="3330" width="15.7109375" style="43" customWidth="1"/>
    <col min="3331" max="3331" width="14" style="43" customWidth="1"/>
    <col min="3332" max="3332" width="14.42578125" style="43" bestFit="1" customWidth="1"/>
    <col min="3333" max="3583" width="11.42578125" style="43"/>
    <col min="3584" max="3584" width="10.140625" style="43" bestFit="1" customWidth="1"/>
    <col min="3585" max="3585" width="54.5703125" style="43" customWidth="1"/>
    <col min="3586" max="3586" width="15.7109375" style="43" customWidth="1"/>
    <col min="3587" max="3587" width="14" style="43" customWidth="1"/>
    <col min="3588" max="3588" width="14.42578125" style="43" bestFit="1" customWidth="1"/>
    <col min="3589" max="3839" width="11.42578125" style="43"/>
    <col min="3840" max="3840" width="10.140625" style="43" bestFit="1" customWidth="1"/>
    <col min="3841" max="3841" width="54.5703125" style="43" customWidth="1"/>
    <col min="3842" max="3842" width="15.7109375" style="43" customWidth="1"/>
    <col min="3843" max="3843" width="14" style="43" customWidth="1"/>
    <col min="3844" max="3844" width="14.42578125" style="43" bestFit="1" customWidth="1"/>
    <col min="3845" max="4095" width="11.42578125" style="43"/>
    <col min="4096" max="4096" width="10.140625" style="43" bestFit="1" customWidth="1"/>
    <col min="4097" max="4097" width="54.5703125" style="43" customWidth="1"/>
    <col min="4098" max="4098" width="15.7109375" style="43" customWidth="1"/>
    <col min="4099" max="4099" width="14" style="43" customWidth="1"/>
    <col min="4100" max="4100" width="14.42578125" style="43" bestFit="1" customWidth="1"/>
    <col min="4101" max="4351" width="11.42578125" style="43"/>
    <col min="4352" max="4352" width="10.140625" style="43" bestFit="1" customWidth="1"/>
    <col min="4353" max="4353" width="54.5703125" style="43" customWidth="1"/>
    <col min="4354" max="4354" width="15.7109375" style="43" customWidth="1"/>
    <col min="4355" max="4355" width="14" style="43" customWidth="1"/>
    <col min="4356" max="4356" width="14.42578125" style="43" bestFit="1" customWidth="1"/>
    <col min="4357" max="4607" width="11.42578125" style="43"/>
    <col min="4608" max="4608" width="10.140625" style="43" bestFit="1" customWidth="1"/>
    <col min="4609" max="4609" width="54.5703125" style="43" customWidth="1"/>
    <col min="4610" max="4610" width="15.7109375" style="43" customWidth="1"/>
    <col min="4611" max="4611" width="14" style="43" customWidth="1"/>
    <col min="4612" max="4612" width="14.42578125" style="43" bestFit="1" customWidth="1"/>
    <col min="4613" max="4863" width="11.42578125" style="43"/>
    <col min="4864" max="4864" width="10.140625" style="43" bestFit="1" customWidth="1"/>
    <col min="4865" max="4865" width="54.5703125" style="43" customWidth="1"/>
    <col min="4866" max="4866" width="15.7109375" style="43" customWidth="1"/>
    <col min="4867" max="4867" width="14" style="43" customWidth="1"/>
    <col min="4868" max="4868" width="14.42578125" style="43" bestFit="1" customWidth="1"/>
    <col min="4869" max="5119" width="11.42578125" style="43"/>
    <col min="5120" max="5120" width="10.140625" style="43" bestFit="1" customWidth="1"/>
    <col min="5121" max="5121" width="54.5703125" style="43" customWidth="1"/>
    <col min="5122" max="5122" width="15.7109375" style="43" customWidth="1"/>
    <col min="5123" max="5123" width="14" style="43" customWidth="1"/>
    <col min="5124" max="5124" width="14.42578125" style="43" bestFit="1" customWidth="1"/>
    <col min="5125" max="5375" width="11.42578125" style="43"/>
    <col min="5376" max="5376" width="10.140625" style="43" bestFit="1" customWidth="1"/>
    <col min="5377" max="5377" width="54.5703125" style="43" customWidth="1"/>
    <col min="5378" max="5378" width="15.7109375" style="43" customWidth="1"/>
    <col min="5379" max="5379" width="14" style="43" customWidth="1"/>
    <col min="5380" max="5380" width="14.42578125" style="43" bestFit="1" customWidth="1"/>
    <col min="5381" max="5631" width="11.42578125" style="43"/>
    <col min="5632" max="5632" width="10.140625" style="43" bestFit="1" customWidth="1"/>
    <col min="5633" max="5633" width="54.5703125" style="43" customWidth="1"/>
    <col min="5634" max="5634" width="15.7109375" style="43" customWidth="1"/>
    <col min="5635" max="5635" width="14" style="43" customWidth="1"/>
    <col min="5636" max="5636" width="14.42578125" style="43" bestFit="1" customWidth="1"/>
    <col min="5637" max="5887" width="11.42578125" style="43"/>
    <col min="5888" max="5888" width="10.140625" style="43" bestFit="1" customWidth="1"/>
    <col min="5889" max="5889" width="54.5703125" style="43" customWidth="1"/>
    <col min="5890" max="5890" width="15.7109375" style="43" customWidth="1"/>
    <col min="5891" max="5891" width="14" style="43" customWidth="1"/>
    <col min="5892" max="5892" width="14.42578125" style="43" bestFit="1" customWidth="1"/>
    <col min="5893" max="6143" width="11.42578125" style="43"/>
    <col min="6144" max="6144" width="10.140625" style="43" bestFit="1" customWidth="1"/>
    <col min="6145" max="6145" width="54.5703125" style="43" customWidth="1"/>
    <col min="6146" max="6146" width="15.7109375" style="43" customWidth="1"/>
    <col min="6147" max="6147" width="14" style="43" customWidth="1"/>
    <col min="6148" max="6148" width="14.42578125" style="43" bestFit="1" customWidth="1"/>
    <col min="6149" max="6399" width="11.42578125" style="43"/>
    <col min="6400" max="6400" width="10.140625" style="43" bestFit="1" customWidth="1"/>
    <col min="6401" max="6401" width="54.5703125" style="43" customWidth="1"/>
    <col min="6402" max="6402" width="15.7109375" style="43" customWidth="1"/>
    <col min="6403" max="6403" width="14" style="43" customWidth="1"/>
    <col min="6404" max="6404" width="14.42578125" style="43" bestFit="1" customWidth="1"/>
    <col min="6405" max="6655" width="11.42578125" style="43"/>
    <col min="6656" max="6656" width="10.140625" style="43" bestFit="1" customWidth="1"/>
    <col min="6657" max="6657" width="54.5703125" style="43" customWidth="1"/>
    <col min="6658" max="6658" width="15.7109375" style="43" customWidth="1"/>
    <col min="6659" max="6659" width="14" style="43" customWidth="1"/>
    <col min="6660" max="6660" width="14.42578125" style="43" bestFit="1" customWidth="1"/>
    <col min="6661" max="6911" width="11.42578125" style="43"/>
    <col min="6912" max="6912" width="10.140625" style="43" bestFit="1" customWidth="1"/>
    <col min="6913" max="6913" width="54.5703125" style="43" customWidth="1"/>
    <col min="6914" max="6914" width="15.7109375" style="43" customWidth="1"/>
    <col min="6915" max="6915" width="14" style="43" customWidth="1"/>
    <col min="6916" max="6916" width="14.42578125" style="43" bestFit="1" customWidth="1"/>
    <col min="6917" max="7167" width="11.42578125" style="43"/>
    <col min="7168" max="7168" width="10.140625" style="43" bestFit="1" customWidth="1"/>
    <col min="7169" max="7169" width="54.5703125" style="43" customWidth="1"/>
    <col min="7170" max="7170" width="15.7109375" style="43" customWidth="1"/>
    <col min="7171" max="7171" width="14" style="43" customWidth="1"/>
    <col min="7172" max="7172" width="14.42578125" style="43" bestFit="1" customWidth="1"/>
    <col min="7173" max="7423" width="11.42578125" style="43"/>
    <col min="7424" max="7424" width="10.140625" style="43" bestFit="1" customWidth="1"/>
    <col min="7425" max="7425" width="54.5703125" style="43" customWidth="1"/>
    <col min="7426" max="7426" width="15.7109375" style="43" customWidth="1"/>
    <col min="7427" max="7427" width="14" style="43" customWidth="1"/>
    <col min="7428" max="7428" width="14.42578125" style="43" bestFit="1" customWidth="1"/>
    <col min="7429" max="7679" width="11.42578125" style="43"/>
    <col min="7680" max="7680" width="10.140625" style="43" bestFit="1" customWidth="1"/>
    <col min="7681" max="7681" width="54.5703125" style="43" customWidth="1"/>
    <col min="7682" max="7682" width="15.7109375" style="43" customWidth="1"/>
    <col min="7683" max="7683" width="14" style="43" customWidth="1"/>
    <col min="7684" max="7684" width="14.42578125" style="43" bestFit="1" customWidth="1"/>
    <col min="7685" max="7935" width="11.42578125" style="43"/>
    <col min="7936" max="7936" width="10.140625" style="43" bestFit="1" customWidth="1"/>
    <col min="7937" max="7937" width="54.5703125" style="43" customWidth="1"/>
    <col min="7938" max="7938" width="15.7109375" style="43" customWidth="1"/>
    <col min="7939" max="7939" width="14" style="43" customWidth="1"/>
    <col min="7940" max="7940" width="14.42578125" style="43" bestFit="1" customWidth="1"/>
    <col min="7941" max="8191" width="11.42578125" style="43"/>
    <col min="8192" max="8192" width="10.140625" style="43" bestFit="1" customWidth="1"/>
    <col min="8193" max="8193" width="54.5703125" style="43" customWidth="1"/>
    <col min="8194" max="8194" width="15.7109375" style="43" customWidth="1"/>
    <col min="8195" max="8195" width="14" style="43" customWidth="1"/>
    <col min="8196" max="8196" width="14.42578125" style="43" bestFit="1" customWidth="1"/>
    <col min="8197" max="8447" width="11.42578125" style="43"/>
    <col min="8448" max="8448" width="10.140625" style="43" bestFit="1" customWidth="1"/>
    <col min="8449" max="8449" width="54.5703125" style="43" customWidth="1"/>
    <col min="8450" max="8450" width="15.7109375" style="43" customWidth="1"/>
    <col min="8451" max="8451" width="14" style="43" customWidth="1"/>
    <col min="8452" max="8452" width="14.42578125" style="43" bestFit="1" customWidth="1"/>
    <col min="8453" max="8703" width="11.42578125" style="43"/>
    <col min="8704" max="8704" width="10.140625" style="43" bestFit="1" customWidth="1"/>
    <col min="8705" max="8705" width="54.5703125" style="43" customWidth="1"/>
    <col min="8706" max="8706" width="15.7109375" style="43" customWidth="1"/>
    <col min="8707" max="8707" width="14" style="43" customWidth="1"/>
    <col min="8708" max="8708" width="14.42578125" style="43" bestFit="1" customWidth="1"/>
    <col min="8709" max="8959" width="11.42578125" style="43"/>
    <col min="8960" max="8960" width="10.140625" style="43" bestFit="1" customWidth="1"/>
    <col min="8961" max="8961" width="54.5703125" style="43" customWidth="1"/>
    <col min="8962" max="8962" width="15.7109375" style="43" customWidth="1"/>
    <col min="8963" max="8963" width="14" style="43" customWidth="1"/>
    <col min="8964" max="8964" width="14.42578125" style="43" bestFit="1" customWidth="1"/>
    <col min="8965" max="9215" width="11.42578125" style="43"/>
    <col min="9216" max="9216" width="10.140625" style="43" bestFit="1" customWidth="1"/>
    <col min="9217" max="9217" width="54.5703125" style="43" customWidth="1"/>
    <col min="9218" max="9218" width="15.7109375" style="43" customWidth="1"/>
    <col min="9219" max="9219" width="14" style="43" customWidth="1"/>
    <col min="9220" max="9220" width="14.42578125" style="43" bestFit="1" customWidth="1"/>
    <col min="9221" max="9471" width="11.42578125" style="43"/>
    <col min="9472" max="9472" width="10.140625" style="43" bestFit="1" customWidth="1"/>
    <col min="9473" max="9473" width="54.5703125" style="43" customWidth="1"/>
    <col min="9474" max="9474" width="15.7109375" style="43" customWidth="1"/>
    <col min="9475" max="9475" width="14" style="43" customWidth="1"/>
    <col min="9476" max="9476" width="14.42578125" style="43" bestFit="1" customWidth="1"/>
    <col min="9477" max="9727" width="11.42578125" style="43"/>
    <col min="9728" max="9728" width="10.140625" style="43" bestFit="1" customWidth="1"/>
    <col min="9729" max="9729" width="54.5703125" style="43" customWidth="1"/>
    <col min="9730" max="9730" width="15.7109375" style="43" customWidth="1"/>
    <col min="9731" max="9731" width="14" style="43" customWidth="1"/>
    <col min="9732" max="9732" width="14.42578125" style="43" bestFit="1" customWidth="1"/>
    <col min="9733" max="9983" width="11.42578125" style="43"/>
    <col min="9984" max="9984" width="10.140625" style="43" bestFit="1" customWidth="1"/>
    <col min="9985" max="9985" width="54.5703125" style="43" customWidth="1"/>
    <col min="9986" max="9986" width="15.7109375" style="43" customWidth="1"/>
    <col min="9987" max="9987" width="14" style="43" customWidth="1"/>
    <col min="9988" max="9988" width="14.42578125" style="43" bestFit="1" customWidth="1"/>
    <col min="9989" max="10239" width="11.42578125" style="43"/>
    <col min="10240" max="10240" width="10.140625" style="43" bestFit="1" customWidth="1"/>
    <col min="10241" max="10241" width="54.5703125" style="43" customWidth="1"/>
    <col min="10242" max="10242" width="15.7109375" style="43" customWidth="1"/>
    <col min="10243" max="10243" width="14" style="43" customWidth="1"/>
    <col min="10244" max="10244" width="14.42578125" style="43" bestFit="1" customWidth="1"/>
    <col min="10245" max="10495" width="11.42578125" style="43"/>
    <col min="10496" max="10496" width="10.140625" style="43" bestFit="1" customWidth="1"/>
    <col min="10497" max="10497" width="54.5703125" style="43" customWidth="1"/>
    <col min="10498" max="10498" width="15.7109375" style="43" customWidth="1"/>
    <col min="10499" max="10499" width="14" style="43" customWidth="1"/>
    <col min="10500" max="10500" width="14.42578125" style="43" bestFit="1" customWidth="1"/>
    <col min="10501" max="10751" width="11.42578125" style="43"/>
    <col min="10752" max="10752" width="10.140625" style="43" bestFit="1" customWidth="1"/>
    <col min="10753" max="10753" width="54.5703125" style="43" customWidth="1"/>
    <col min="10754" max="10754" width="15.7109375" style="43" customWidth="1"/>
    <col min="10755" max="10755" width="14" style="43" customWidth="1"/>
    <col min="10756" max="10756" width="14.42578125" style="43" bestFit="1" customWidth="1"/>
    <col min="10757" max="11007" width="11.42578125" style="43"/>
    <col min="11008" max="11008" width="10.140625" style="43" bestFit="1" customWidth="1"/>
    <col min="11009" max="11009" width="54.5703125" style="43" customWidth="1"/>
    <col min="11010" max="11010" width="15.7109375" style="43" customWidth="1"/>
    <col min="11011" max="11011" width="14" style="43" customWidth="1"/>
    <col min="11012" max="11012" width="14.42578125" style="43" bestFit="1" customWidth="1"/>
    <col min="11013" max="11263" width="11.42578125" style="43"/>
    <col min="11264" max="11264" width="10.140625" style="43" bestFit="1" customWidth="1"/>
    <col min="11265" max="11265" width="54.5703125" style="43" customWidth="1"/>
    <col min="11266" max="11266" width="15.7109375" style="43" customWidth="1"/>
    <col min="11267" max="11267" width="14" style="43" customWidth="1"/>
    <col min="11268" max="11268" width="14.42578125" style="43" bestFit="1" customWidth="1"/>
    <col min="11269" max="11519" width="11.42578125" style="43"/>
    <col min="11520" max="11520" width="10.140625" style="43" bestFit="1" customWidth="1"/>
    <col min="11521" max="11521" width="54.5703125" style="43" customWidth="1"/>
    <col min="11522" max="11522" width="15.7109375" style="43" customWidth="1"/>
    <col min="11523" max="11523" width="14" style="43" customWidth="1"/>
    <col min="11524" max="11524" width="14.42578125" style="43" bestFit="1" customWidth="1"/>
    <col min="11525" max="11775" width="11.42578125" style="43"/>
    <col min="11776" max="11776" width="10.140625" style="43" bestFit="1" customWidth="1"/>
    <col min="11777" max="11777" width="54.5703125" style="43" customWidth="1"/>
    <col min="11778" max="11778" width="15.7109375" style="43" customWidth="1"/>
    <col min="11779" max="11779" width="14" style="43" customWidth="1"/>
    <col min="11780" max="11780" width="14.42578125" style="43" bestFit="1" customWidth="1"/>
    <col min="11781" max="12031" width="11.42578125" style="43"/>
    <col min="12032" max="12032" width="10.140625" style="43" bestFit="1" customWidth="1"/>
    <col min="12033" max="12033" width="54.5703125" style="43" customWidth="1"/>
    <col min="12034" max="12034" width="15.7109375" style="43" customWidth="1"/>
    <col min="12035" max="12035" width="14" style="43" customWidth="1"/>
    <col min="12036" max="12036" width="14.42578125" style="43" bestFit="1" customWidth="1"/>
    <col min="12037" max="12287" width="11.42578125" style="43"/>
    <col min="12288" max="12288" width="10.140625" style="43" bestFit="1" customWidth="1"/>
    <col min="12289" max="12289" width="54.5703125" style="43" customWidth="1"/>
    <col min="12290" max="12290" width="15.7109375" style="43" customWidth="1"/>
    <col min="12291" max="12291" width="14" style="43" customWidth="1"/>
    <col min="12292" max="12292" width="14.42578125" style="43" bestFit="1" customWidth="1"/>
    <col min="12293" max="12543" width="11.42578125" style="43"/>
    <col min="12544" max="12544" width="10.140625" style="43" bestFit="1" customWidth="1"/>
    <col min="12545" max="12545" width="54.5703125" style="43" customWidth="1"/>
    <col min="12546" max="12546" width="15.7109375" style="43" customWidth="1"/>
    <col min="12547" max="12547" width="14" style="43" customWidth="1"/>
    <col min="12548" max="12548" width="14.42578125" style="43" bestFit="1" customWidth="1"/>
    <col min="12549" max="12799" width="11.42578125" style="43"/>
    <col min="12800" max="12800" width="10.140625" style="43" bestFit="1" customWidth="1"/>
    <col min="12801" max="12801" width="54.5703125" style="43" customWidth="1"/>
    <col min="12802" max="12802" width="15.7109375" style="43" customWidth="1"/>
    <col min="12803" max="12803" width="14" style="43" customWidth="1"/>
    <col min="12804" max="12804" width="14.42578125" style="43" bestFit="1" customWidth="1"/>
    <col min="12805" max="13055" width="11.42578125" style="43"/>
    <col min="13056" max="13056" width="10.140625" style="43" bestFit="1" customWidth="1"/>
    <col min="13057" max="13057" width="54.5703125" style="43" customWidth="1"/>
    <col min="13058" max="13058" width="15.7109375" style="43" customWidth="1"/>
    <col min="13059" max="13059" width="14" style="43" customWidth="1"/>
    <col min="13060" max="13060" width="14.42578125" style="43" bestFit="1" customWidth="1"/>
    <col min="13061" max="13311" width="11.42578125" style="43"/>
    <col min="13312" max="13312" width="10.140625" style="43" bestFit="1" customWidth="1"/>
    <col min="13313" max="13313" width="54.5703125" style="43" customWidth="1"/>
    <col min="13314" max="13314" width="15.7109375" style="43" customWidth="1"/>
    <col min="13315" max="13315" width="14" style="43" customWidth="1"/>
    <col min="13316" max="13316" width="14.42578125" style="43" bestFit="1" customWidth="1"/>
    <col min="13317" max="13567" width="11.42578125" style="43"/>
    <col min="13568" max="13568" width="10.140625" style="43" bestFit="1" customWidth="1"/>
    <col min="13569" max="13569" width="54.5703125" style="43" customWidth="1"/>
    <col min="13570" max="13570" width="15.7109375" style="43" customWidth="1"/>
    <col min="13571" max="13571" width="14" style="43" customWidth="1"/>
    <col min="13572" max="13572" width="14.42578125" style="43" bestFit="1" customWidth="1"/>
    <col min="13573" max="13823" width="11.42578125" style="43"/>
    <col min="13824" max="13824" width="10.140625" style="43" bestFit="1" customWidth="1"/>
    <col min="13825" max="13825" width="54.5703125" style="43" customWidth="1"/>
    <col min="13826" max="13826" width="15.7109375" style="43" customWidth="1"/>
    <col min="13827" max="13827" width="14" style="43" customWidth="1"/>
    <col min="13828" max="13828" width="14.42578125" style="43" bestFit="1" customWidth="1"/>
    <col min="13829" max="14079" width="11.42578125" style="43"/>
    <col min="14080" max="14080" width="10.140625" style="43" bestFit="1" customWidth="1"/>
    <col min="14081" max="14081" width="54.5703125" style="43" customWidth="1"/>
    <col min="14082" max="14082" width="15.7109375" style="43" customWidth="1"/>
    <col min="14083" max="14083" width="14" style="43" customWidth="1"/>
    <col min="14084" max="14084" width="14.42578125" style="43" bestFit="1" customWidth="1"/>
    <col min="14085" max="14335" width="11.42578125" style="43"/>
    <col min="14336" max="14336" width="10.140625" style="43" bestFit="1" customWidth="1"/>
    <col min="14337" max="14337" width="54.5703125" style="43" customWidth="1"/>
    <col min="14338" max="14338" width="15.7109375" style="43" customWidth="1"/>
    <col min="14339" max="14339" width="14" style="43" customWidth="1"/>
    <col min="14340" max="14340" width="14.42578125" style="43" bestFit="1" customWidth="1"/>
    <col min="14341" max="14591" width="11.42578125" style="43"/>
    <col min="14592" max="14592" width="10.140625" style="43" bestFit="1" customWidth="1"/>
    <col min="14593" max="14593" width="54.5703125" style="43" customWidth="1"/>
    <col min="14594" max="14594" width="15.7109375" style="43" customWidth="1"/>
    <col min="14595" max="14595" width="14" style="43" customWidth="1"/>
    <col min="14596" max="14596" width="14.42578125" style="43" bestFit="1" customWidth="1"/>
    <col min="14597" max="14847" width="11.42578125" style="43"/>
    <col min="14848" max="14848" width="10.140625" style="43" bestFit="1" customWidth="1"/>
    <col min="14849" max="14849" width="54.5703125" style="43" customWidth="1"/>
    <col min="14850" max="14850" width="15.7109375" style="43" customWidth="1"/>
    <col min="14851" max="14851" width="14" style="43" customWidth="1"/>
    <col min="14852" max="14852" width="14.42578125" style="43" bestFit="1" customWidth="1"/>
    <col min="14853" max="15103" width="11.42578125" style="43"/>
    <col min="15104" max="15104" width="10.140625" style="43" bestFit="1" customWidth="1"/>
    <col min="15105" max="15105" width="54.5703125" style="43" customWidth="1"/>
    <col min="15106" max="15106" width="15.7109375" style="43" customWidth="1"/>
    <col min="15107" max="15107" width="14" style="43" customWidth="1"/>
    <col min="15108" max="15108" width="14.42578125" style="43" bestFit="1" customWidth="1"/>
    <col min="15109" max="15359" width="11.42578125" style="43"/>
    <col min="15360" max="15360" width="10.140625" style="43" bestFit="1" customWidth="1"/>
    <col min="15361" max="15361" width="54.5703125" style="43" customWidth="1"/>
    <col min="15362" max="15362" width="15.7109375" style="43" customWidth="1"/>
    <col min="15363" max="15363" width="14" style="43" customWidth="1"/>
    <col min="15364" max="15364" width="14.42578125" style="43" bestFit="1" customWidth="1"/>
    <col min="15365" max="15615" width="11.42578125" style="43"/>
    <col min="15616" max="15616" width="10.140625" style="43" bestFit="1" customWidth="1"/>
    <col min="15617" max="15617" width="54.5703125" style="43" customWidth="1"/>
    <col min="15618" max="15618" width="15.7109375" style="43" customWidth="1"/>
    <col min="15619" max="15619" width="14" style="43" customWidth="1"/>
    <col min="15620" max="15620" width="14.42578125" style="43" bestFit="1" customWidth="1"/>
    <col min="15621" max="15871" width="11.42578125" style="43"/>
    <col min="15872" max="15872" width="10.140625" style="43" bestFit="1" customWidth="1"/>
    <col min="15873" max="15873" width="54.5703125" style="43" customWidth="1"/>
    <col min="15874" max="15874" width="15.7109375" style="43" customWidth="1"/>
    <col min="15875" max="15875" width="14" style="43" customWidth="1"/>
    <col min="15876" max="15876" width="14.42578125" style="43" bestFit="1" customWidth="1"/>
    <col min="15877" max="16127" width="11.42578125" style="43"/>
    <col min="16128" max="16128" width="10.140625" style="43" bestFit="1" customWidth="1"/>
    <col min="16129" max="16129" width="54.5703125" style="43" customWidth="1"/>
    <col min="16130" max="16130" width="15.7109375" style="43" customWidth="1"/>
    <col min="16131" max="16131" width="14" style="43" customWidth="1"/>
    <col min="16132" max="16132" width="14.42578125" style="43" bestFit="1" customWidth="1"/>
    <col min="16133" max="16384" width="11.42578125" style="43"/>
  </cols>
  <sheetData>
    <row r="1" spans="1:13" ht="15.75">
      <c r="A1" s="220" t="s">
        <v>470</v>
      </c>
      <c r="B1" s="220"/>
      <c r="C1" s="220"/>
      <c r="D1" s="41"/>
      <c r="E1" s="42"/>
    </row>
    <row r="2" spans="1:13" ht="15.75">
      <c r="A2" s="144"/>
      <c r="B2" s="144" t="str">
        <f>+'Datos '!B6&amp;" - "&amp;'Datos '!B4</f>
        <v>CIÉNAGA - MAGDALENA</v>
      </c>
      <c r="C2" s="145"/>
      <c r="D2" s="41"/>
      <c r="E2" s="42"/>
    </row>
    <row r="3" spans="1:13" ht="15" customHeight="1">
      <c r="A3" s="44" t="s">
        <v>317</v>
      </c>
      <c r="B3" s="26" t="s">
        <v>277</v>
      </c>
      <c r="C3" s="26">
        <f>+'Balance Financiero Minhacienda'!C3</f>
        <v>2018</v>
      </c>
      <c r="D3" s="26">
        <f>+'Balance Financiero Minhacienda'!D3</f>
        <v>2019</v>
      </c>
      <c r="E3" s="26">
        <f>+'Balance Financiero Minhacienda'!E3</f>
        <v>2020</v>
      </c>
      <c r="F3" s="26">
        <f>+'Balance Financiero Minhacienda'!F3</f>
        <v>2021</v>
      </c>
      <c r="G3" s="26">
        <f>+'Balance Financiero Minhacienda'!G3</f>
        <v>2022</v>
      </c>
      <c r="H3" s="26">
        <f>+'Balance Financiero Minhacienda'!H3</f>
        <v>2023</v>
      </c>
      <c r="I3" s="26">
        <f>+'Balance Financiero Minhacienda'!I3</f>
        <v>2024</v>
      </c>
      <c r="J3" s="26">
        <f>+'Balance Financiero Minhacienda'!J3</f>
        <v>2025</v>
      </c>
      <c r="K3" s="26">
        <f>+'Balance Financiero Minhacienda'!K3</f>
        <v>2026</v>
      </c>
      <c r="L3" s="26">
        <f>+'Balance Financiero Minhacienda'!L3</f>
        <v>2027</v>
      </c>
      <c r="M3" s="26">
        <f>+'Balance Financiero Minhacienda'!M3</f>
        <v>2028</v>
      </c>
    </row>
    <row r="4" spans="1:13" ht="12.75" customHeight="1">
      <c r="A4" s="45" t="s">
        <v>318</v>
      </c>
      <c r="B4" s="24" t="s">
        <v>319</v>
      </c>
      <c r="C4" s="81" t="e">
        <f t="shared" ref="C4" si="0">+C5+C29</f>
        <v>#REF!</v>
      </c>
      <c r="D4" s="81" t="e">
        <f t="shared" ref="D4:M4" si="1">+D5+D29</f>
        <v>#REF!</v>
      </c>
      <c r="E4" s="81" t="e">
        <f t="shared" si="1"/>
        <v>#REF!</v>
      </c>
      <c r="F4" s="81" t="e">
        <f t="shared" si="1"/>
        <v>#REF!</v>
      </c>
      <c r="G4" s="81" t="e">
        <f t="shared" si="1"/>
        <v>#REF!</v>
      </c>
      <c r="H4" s="81" t="e">
        <f t="shared" si="1"/>
        <v>#REF!</v>
      </c>
      <c r="I4" s="81" t="e">
        <f t="shared" si="1"/>
        <v>#REF!</v>
      </c>
      <c r="J4" s="81" t="e">
        <f t="shared" si="1"/>
        <v>#REF!</v>
      </c>
      <c r="K4" s="81" t="e">
        <f t="shared" si="1"/>
        <v>#REF!</v>
      </c>
      <c r="L4" s="81" t="e">
        <f t="shared" si="1"/>
        <v>#REF!</v>
      </c>
      <c r="M4" s="81" t="e">
        <f t="shared" si="1"/>
        <v>#REF!</v>
      </c>
    </row>
    <row r="5" spans="1:13" ht="12.75" customHeight="1">
      <c r="A5" s="46" t="s">
        <v>320</v>
      </c>
      <c r="B5" s="6" t="s">
        <v>279</v>
      </c>
      <c r="C5" s="82" t="e">
        <f t="shared" ref="C5" si="2">+C6+C16+C17</f>
        <v>#REF!</v>
      </c>
      <c r="D5" s="82" t="e">
        <f t="shared" ref="D5:M5" si="3">+D6+D16+D17</f>
        <v>#REF!</v>
      </c>
      <c r="E5" s="82" t="e">
        <f t="shared" si="3"/>
        <v>#REF!</v>
      </c>
      <c r="F5" s="82" t="e">
        <f t="shared" si="3"/>
        <v>#REF!</v>
      </c>
      <c r="G5" s="82" t="e">
        <f t="shared" si="3"/>
        <v>#REF!</v>
      </c>
      <c r="H5" s="82" t="e">
        <f t="shared" si="3"/>
        <v>#REF!</v>
      </c>
      <c r="I5" s="82" t="e">
        <f t="shared" si="3"/>
        <v>#REF!</v>
      </c>
      <c r="J5" s="82" t="e">
        <f t="shared" si="3"/>
        <v>#REF!</v>
      </c>
      <c r="K5" s="82" t="e">
        <f t="shared" si="3"/>
        <v>#REF!</v>
      </c>
      <c r="L5" s="82" t="e">
        <f t="shared" si="3"/>
        <v>#REF!</v>
      </c>
      <c r="M5" s="82" t="e">
        <f t="shared" si="3"/>
        <v>#REF!</v>
      </c>
    </row>
    <row r="6" spans="1:13" ht="12.75" customHeight="1">
      <c r="A6" s="46" t="s">
        <v>321</v>
      </c>
      <c r="B6" s="6" t="s">
        <v>280</v>
      </c>
      <c r="C6" s="82" t="e">
        <f t="shared" ref="C6:M6" si="4">+SUM(C7:C15)</f>
        <v>#REF!</v>
      </c>
      <c r="D6" s="82" t="e">
        <f t="shared" si="4"/>
        <v>#REF!</v>
      </c>
      <c r="E6" s="82" t="e">
        <f t="shared" si="4"/>
        <v>#REF!</v>
      </c>
      <c r="F6" s="82" t="e">
        <f t="shared" si="4"/>
        <v>#REF!</v>
      </c>
      <c r="G6" s="82" t="e">
        <f t="shared" si="4"/>
        <v>#REF!</v>
      </c>
      <c r="H6" s="82" t="e">
        <f t="shared" si="4"/>
        <v>#REF!</v>
      </c>
      <c r="I6" s="82" t="e">
        <f t="shared" si="4"/>
        <v>#REF!</v>
      </c>
      <c r="J6" s="82" t="e">
        <f t="shared" si="4"/>
        <v>#REF!</v>
      </c>
      <c r="K6" s="82" t="e">
        <f t="shared" si="4"/>
        <v>#REF!</v>
      </c>
      <c r="L6" s="82" t="e">
        <f t="shared" si="4"/>
        <v>#REF!</v>
      </c>
      <c r="M6" s="82" t="e">
        <f t="shared" si="4"/>
        <v>#REF!</v>
      </c>
    </row>
    <row r="7" spans="1:13" ht="12.75" customHeight="1">
      <c r="A7" s="46" t="s">
        <v>322</v>
      </c>
      <c r="B7" s="46" t="s">
        <v>281</v>
      </c>
      <c r="C7" s="83">
        <f>+'Balance Financiero Minhacienda'!C7</f>
        <v>968685079</v>
      </c>
      <c r="D7" s="83">
        <f>+'Balance Financiero Minhacienda'!D7</f>
        <v>997745631.37</v>
      </c>
      <c r="E7" s="83">
        <f>+'Balance Financiero Minhacienda'!E7</f>
        <v>1027678000.3111</v>
      </c>
      <c r="F7" s="83">
        <f>+'Balance Financiero Minhacienda'!F7</f>
        <v>1058508340.320433</v>
      </c>
      <c r="G7" s="83">
        <f>+'Balance Financiero Minhacienda'!G7</f>
        <v>1090263590.530046</v>
      </c>
      <c r="H7" s="83">
        <f>+'Balance Financiero Minhacienda'!H7</f>
        <v>1122971498.2459474</v>
      </c>
      <c r="I7" s="83">
        <f>+'Balance Financiero Minhacienda'!I7</f>
        <v>1156660643.1933258</v>
      </c>
      <c r="J7" s="83">
        <f>+'Balance Financiero Minhacienda'!J7</f>
        <v>1191360462.4891255</v>
      </c>
      <c r="K7" s="83">
        <f>+'Balance Financiero Minhacienda'!K7</f>
        <v>1227101276.3637993</v>
      </c>
      <c r="L7" s="83">
        <f>+'Balance Financiero Minhacienda'!L7</f>
        <v>1263914314.6547134</v>
      </c>
      <c r="M7" s="83">
        <f>+'Balance Financiero Minhacienda'!M7</f>
        <v>1301831744.0943549</v>
      </c>
    </row>
    <row r="8" spans="1:13" ht="12.75" customHeight="1">
      <c r="A8" s="46" t="s">
        <v>323</v>
      </c>
      <c r="B8" s="46" t="s">
        <v>282</v>
      </c>
      <c r="C8" s="83">
        <f>+'Balance Financiero Minhacienda'!C8</f>
        <v>10541020000</v>
      </c>
      <c r="D8" s="83">
        <f>+'Balance Financiero Minhacienda'!D8</f>
        <v>10857250600</v>
      </c>
      <c r="E8" s="83">
        <f>+'Balance Financiero Minhacienda'!E8</f>
        <v>11182968118</v>
      </c>
      <c r="F8" s="83">
        <f>+'Balance Financiero Minhacienda'!F8</f>
        <v>11518457161.540001</v>
      </c>
      <c r="G8" s="83">
        <f>+'Balance Financiero Minhacienda'!G8</f>
        <v>11864010876.386202</v>
      </c>
      <c r="H8" s="83">
        <f>+'Balance Financiero Minhacienda'!H8</f>
        <v>12219931202.677788</v>
      </c>
      <c r="I8" s="83">
        <f>+'Balance Financiero Minhacienda'!I8</f>
        <v>12586529138.758121</v>
      </c>
      <c r="J8" s="83">
        <f>+'Balance Financiero Minhacienda'!J8</f>
        <v>12964125012.920866</v>
      </c>
      <c r="K8" s="83">
        <f>+'Balance Financiero Minhacienda'!K8</f>
        <v>13353048763.308493</v>
      </c>
      <c r="L8" s="83">
        <f>+'Balance Financiero Minhacienda'!L8</f>
        <v>13753640226.207748</v>
      </c>
      <c r="M8" s="83">
        <f>+'Balance Financiero Minhacienda'!M8</f>
        <v>14166249432.99398</v>
      </c>
    </row>
    <row r="9" spans="1:13" ht="12.75" customHeight="1">
      <c r="A9" s="47" t="s">
        <v>324</v>
      </c>
      <c r="B9" s="47" t="s">
        <v>325</v>
      </c>
      <c r="C9" s="83">
        <f>+'Balance Financiero Minhacienda'!C13</f>
        <v>1015218470</v>
      </c>
      <c r="D9" s="83">
        <f>+'Balance Financiero Minhacienda'!D13</f>
        <v>1045675024.1</v>
      </c>
      <c r="E9" s="83">
        <f>+'Balance Financiero Minhacienda'!E13</f>
        <v>1077045274.823</v>
      </c>
      <c r="F9" s="83">
        <f>+'Balance Financiero Minhacienda'!F13</f>
        <v>1109356633.0676899</v>
      </c>
      <c r="G9" s="83">
        <f>+'Balance Financiero Minhacienda'!G13</f>
        <v>1142637332.0597205</v>
      </c>
      <c r="H9" s="83">
        <f>+'Balance Financiero Minhacienda'!H13</f>
        <v>1176916452.0215123</v>
      </c>
      <c r="I9" s="83">
        <f>+'Balance Financiero Minhacienda'!I13</f>
        <v>1212223945.5821576</v>
      </c>
      <c r="J9" s="83">
        <f>+'Balance Financiero Minhacienda'!J13</f>
        <v>1248590663.9496224</v>
      </c>
      <c r="K9" s="83">
        <f>+'Balance Financiero Minhacienda'!K13</f>
        <v>1286048383.8681111</v>
      </c>
      <c r="L9" s="83">
        <f>+'Balance Financiero Minhacienda'!L13</f>
        <v>1324629835.3841546</v>
      </c>
      <c r="M9" s="83">
        <f>+'Balance Financiero Minhacienda'!M13</f>
        <v>1364368730.4456792</v>
      </c>
    </row>
    <row r="10" spans="1:13" ht="12.75" customHeight="1">
      <c r="A10" s="47"/>
      <c r="B10" s="47" t="s">
        <v>469</v>
      </c>
      <c r="C10" s="83">
        <f>+'Balance Financiero Minhacienda'!C11</f>
        <v>0</v>
      </c>
      <c r="D10" s="83">
        <f>+'Balance Financiero Minhacienda'!D11</f>
        <v>0</v>
      </c>
      <c r="E10" s="83">
        <f>+'Balance Financiero Minhacienda'!E11</f>
        <v>0</v>
      </c>
      <c r="F10" s="83">
        <f>+'Balance Financiero Minhacienda'!F11</f>
        <v>0</v>
      </c>
      <c r="G10" s="83">
        <f>+'Balance Financiero Minhacienda'!G11</f>
        <v>0</v>
      </c>
      <c r="H10" s="83">
        <f>+'Balance Financiero Minhacienda'!H11</f>
        <v>0</v>
      </c>
      <c r="I10" s="83">
        <f>+'Balance Financiero Minhacienda'!I11</f>
        <v>0</v>
      </c>
      <c r="J10" s="83">
        <f>+'Balance Financiero Minhacienda'!J11</f>
        <v>0</v>
      </c>
      <c r="K10" s="83">
        <f>+'Balance Financiero Minhacienda'!K11</f>
        <v>0</v>
      </c>
      <c r="L10" s="83">
        <f>+'Balance Financiero Minhacienda'!L11</f>
        <v>0</v>
      </c>
      <c r="M10" s="83">
        <f>+'Balance Financiero Minhacienda'!M11</f>
        <v>0</v>
      </c>
    </row>
    <row r="11" spans="1:13" ht="12.75" customHeight="1">
      <c r="A11" s="47"/>
      <c r="B11" s="47" t="s">
        <v>468</v>
      </c>
      <c r="C11" s="83">
        <f>+'Balance Financiero Minhacienda'!C10</f>
        <v>0</v>
      </c>
      <c r="D11" s="83">
        <f>+'Balance Financiero Minhacienda'!D10</f>
        <v>0</v>
      </c>
      <c r="E11" s="83">
        <f>+'Balance Financiero Minhacienda'!E10</f>
        <v>0</v>
      </c>
      <c r="F11" s="83">
        <f>+'Balance Financiero Minhacienda'!F10</f>
        <v>0</v>
      </c>
      <c r="G11" s="83">
        <f>+'Balance Financiero Minhacienda'!G10</f>
        <v>0</v>
      </c>
      <c r="H11" s="83">
        <f>+'Balance Financiero Minhacienda'!H10</f>
        <v>0</v>
      </c>
      <c r="I11" s="83">
        <f>+'Balance Financiero Minhacienda'!I10</f>
        <v>0</v>
      </c>
      <c r="J11" s="83">
        <f>+'Balance Financiero Minhacienda'!J10</f>
        <v>0</v>
      </c>
      <c r="K11" s="83">
        <f>+'Balance Financiero Minhacienda'!K10</f>
        <v>0</v>
      </c>
      <c r="L11" s="83">
        <f>+'Balance Financiero Minhacienda'!L10</f>
        <v>0</v>
      </c>
      <c r="M11" s="83">
        <f>+'Balance Financiero Minhacienda'!M10</f>
        <v>0</v>
      </c>
    </row>
    <row r="12" spans="1:13" ht="12.75" customHeight="1">
      <c r="A12" s="47"/>
      <c r="B12" s="47" t="s">
        <v>467</v>
      </c>
      <c r="C12" s="83">
        <f>+'Balance Financiero Minhacienda'!C12</f>
        <v>0</v>
      </c>
      <c r="D12" s="83">
        <f>+'Balance Financiero Minhacienda'!D12</f>
        <v>0</v>
      </c>
      <c r="E12" s="83">
        <f>+'Balance Financiero Minhacienda'!E12</f>
        <v>0</v>
      </c>
      <c r="F12" s="83">
        <f>+'Balance Financiero Minhacienda'!F12</f>
        <v>0</v>
      </c>
      <c r="G12" s="83">
        <f>+'Balance Financiero Minhacienda'!G12</f>
        <v>0</v>
      </c>
      <c r="H12" s="83">
        <f>+'Balance Financiero Minhacienda'!H12</f>
        <v>0</v>
      </c>
      <c r="I12" s="83">
        <f>+'Balance Financiero Minhacienda'!I12</f>
        <v>0</v>
      </c>
      <c r="J12" s="83">
        <f>+'Balance Financiero Minhacienda'!J12</f>
        <v>0</v>
      </c>
      <c r="K12" s="83">
        <f>+'Balance Financiero Minhacienda'!K12</f>
        <v>0</v>
      </c>
      <c r="L12" s="83">
        <f>+'Balance Financiero Minhacienda'!L12</f>
        <v>0</v>
      </c>
      <c r="M12" s="83">
        <f>+'Balance Financiero Minhacienda'!M12</f>
        <v>0</v>
      </c>
    </row>
    <row r="13" spans="1:13" ht="12.75" customHeight="1">
      <c r="A13" s="47"/>
      <c r="B13" s="47" t="s">
        <v>466</v>
      </c>
      <c r="C13" s="83">
        <f>+'Balance Financiero Minhacienda'!C9</f>
        <v>216465256</v>
      </c>
      <c r="D13" s="83">
        <f>+'Balance Financiero Minhacienda'!D9</f>
        <v>222959213.68000001</v>
      </c>
      <c r="E13" s="83">
        <f>+'Balance Financiero Minhacienda'!E9</f>
        <v>229647990.09040001</v>
      </c>
      <c r="F13" s="83">
        <f>+'Balance Financiero Minhacienda'!F9</f>
        <v>236537429.79311201</v>
      </c>
      <c r="G13" s="83">
        <f>+'Balance Financiero Minhacienda'!G9</f>
        <v>243633552.68690538</v>
      </c>
      <c r="H13" s="83">
        <f>+'Balance Financiero Minhacienda'!H9</f>
        <v>250942559.26751256</v>
      </c>
      <c r="I13" s="83">
        <f>+'Balance Financiero Minhacienda'!I9</f>
        <v>258470836.04553795</v>
      </c>
      <c r="J13" s="83">
        <f>+'Balance Financiero Minhacienda'!J9</f>
        <v>266224961.1269041</v>
      </c>
      <c r="K13" s="83">
        <f>+'Balance Financiero Minhacienda'!K9</f>
        <v>274211709.96071124</v>
      </c>
      <c r="L13" s="83">
        <f>+'Balance Financiero Minhacienda'!L9</f>
        <v>282438061.25953257</v>
      </c>
      <c r="M13" s="83">
        <f>+'Balance Financiero Minhacienda'!M9</f>
        <v>290911203.09731853</v>
      </c>
    </row>
    <row r="14" spans="1:13" ht="12.75" customHeight="1">
      <c r="A14" s="47"/>
      <c r="B14" s="47" t="s">
        <v>465</v>
      </c>
      <c r="C14" s="83" t="e">
        <f>+'Balance Financiero Minhacienda'!#REF!</f>
        <v>#REF!</v>
      </c>
      <c r="D14" s="83" t="e">
        <f>+'Balance Financiero Minhacienda'!#REF!</f>
        <v>#REF!</v>
      </c>
      <c r="E14" s="83" t="e">
        <f>+'Balance Financiero Minhacienda'!#REF!</f>
        <v>#REF!</v>
      </c>
      <c r="F14" s="83" t="e">
        <f>+'Balance Financiero Minhacienda'!#REF!</f>
        <v>#REF!</v>
      </c>
      <c r="G14" s="83" t="e">
        <f>+'Balance Financiero Minhacienda'!#REF!</f>
        <v>#REF!</v>
      </c>
      <c r="H14" s="83" t="e">
        <f>+'Balance Financiero Minhacienda'!#REF!</f>
        <v>#REF!</v>
      </c>
      <c r="I14" s="83" t="e">
        <f>+'Balance Financiero Minhacienda'!#REF!</f>
        <v>#REF!</v>
      </c>
      <c r="J14" s="83" t="e">
        <f>+'Balance Financiero Minhacienda'!#REF!</f>
        <v>#REF!</v>
      </c>
      <c r="K14" s="83" t="e">
        <f>+'Balance Financiero Minhacienda'!#REF!</f>
        <v>#REF!</v>
      </c>
      <c r="L14" s="83" t="e">
        <f>+'Balance Financiero Minhacienda'!#REF!</f>
        <v>#REF!</v>
      </c>
      <c r="M14" s="83" t="e">
        <f>+'Balance Financiero Minhacienda'!#REF!</f>
        <v>#REF!</v>
      </c>
    </row>
    <row r="15" spans="1:13" ht="12.75" customHeight="1">
      <c r="A15" s="47" t="s">
        <v>326</v>
      </c>
      <c r="B15" s="47" t="s">
        <v>464</v>
      </c>
      <c r="C15" s="83">
        <f>+'Balance Financiero Minhacienda'!C14+'Balance Financiero Minhacienda'!C15+'Balance Financiero Minhacienda'!C16+'Balance Financiero Minhacienda'!C17</f>
        <v>1975613533</v>
      </c>
      <c r="D15" s="83">
        <f>+'Balance Financiero Minhacienda'!D14+'Balance Financiero Minhacienda'!D15+'Balance Financiero Minhacienda'!D16+'Balance Financiero Minhacienda'!D17</f>
        <v>2034881938.99</v>
      </c>
      <c r="E15" s="83">
        <f>+'Balance Financiero Minhacienda'!E14+'Balance Financiero Minhacienda'!E15+'Balance Financiero Minhacienda'!E16+'Balance Financiero Minhacienda'!E17</f>
        <v>2095928397.1596997</v>
      </c>
      <c r="F15" s="83">
        <f>+'Balance Financiero Minhacienda'!F14+'Balance Financiero Minhacienda'!F15+'Balance Financiero Minhacienda'!F16+'Balance Financiero Minhacienda'!F17</f>
        <v>2158806249.074491</v>
      </c>
      <c r="G15" s="83">
        <f>+'Balance Financiero Minhacienda'!G14+'Balance Financiero Minhacienda'!G15+'Balance Financiero Minhacienda'!G16+'Balance Financiero Minhacienda'!G17</f>
        <v>2223570436.5467257</v>
      </c>
      <c r="H15" s="83">
        <f>+'Balance Financiero Minhacienda'!H14+'Balance Financiero Minhacienda'!H15+'Balance Financiero Minhacienda'!H16+'Balance Financiero Minhacienda'!H17</f>
        <v>2290277549.6431274</v>
      </c>
      <c r="I15" s="83">
        <f>+'Balance Financiero Minhacienda'!I14+'Balance Financiero Minhacienda'!I15+'Balance Financiero Minhacienda'!I16+'Balance Financiero Minhacienda'!I17</f>
        <v>2358985876.132422</v>
      </c>
      <c r="J15" s="83">
        <f>+'Balance Financiero Minhacienda'!J14+'Balance Financiero Minhacienda'!J15+'Balance Financiero Minhacienda'!J16+'Balance Financiero Minhacienda'!J17</f>
        <v>2429755452.4163942</v>
      </c>
      <c r="K15" s="83">
        <f>+'Balance Financiero Minhacienda'!K14+'Balance Financiero Minhacienda'!K15+'Balance Financiero Minhacienda'!K16+'Balance Financiero Minhacienda'!K17</f>
        <v>2502648115.9888859</v>
      </c>
      <c r="L15" s="83">
        <f>+'Balance Financiero Minhacienda'!L14+'Balance Financiero Minhacienda'!L15+'Balance Financiero Minhacienda'!L16+'Balance Financiero Minhacienda'!L17</f>
        <v>2577727559.4685526</v>
      </c>
      <c r="M15" s="83">
        <f>+'Balance Financiero Minhacienda'!M14+'Balance Financiero Minhacienda'!M15+'Balance Financiero Minhacienda'!M16+'Balance Financiero Minhacienda'!M17</f>
        <v>2655059386.2526097</v>
      </c>
    </row>
    <row r="16" spans="1:13" ht="12.75" customHeight="1">
      <c r="A16" s="46" t="s">
        <v>327</v>
      </c>
      <c r="B16" s="46" t="s">
        <v>285</v>
      </c>
      <c r="C16" s="83">
        <f>+'Balance Financiero Minhacienda'!C18</f>
        <v>32214500</v>
      </c>
      <c r="D16" s="83">
        <f>+'Balance Financiero Minhacienda'!D18</f>
        <v>254646415</v>
      </c>
      <c r="E16" s="83">
        <f>+'Balance Financiero Minhacienda'!E18</f>
        <v>262285807.45000002</v>
      </c>
      <c r="F16" s="83">
        <f>+'Balance Financiero Minhacienda'!F18</f>
        <v>270154381.6735</v>
      </c>
      <c r="G16" s="83">
        <f>+'Balance Financiero Minhacienda'!G18</f>
        <v>278259013.12370503</v>
      </c>
      <c r="H16" s="83">
        <f>+'Balance Financiero Minhacienda'!H18</f>
        <v>286606783.51741618</v>
      </c>
      <c r="I16" s="83">
        <f>+'Balance Financiero Minhacienda'!I18</f>
        <v>295204987.02293867</v>
      </c>
      <c r="J16" s="83">
        <f>+'Balance Financiero Minhacienda'!J18</f>
        <v>304061136.63362682</v>
      </c>
      <c r="K16" s="83">
        <f>+'Balance Financiero Minhacienda'!K18</f>
        <v>313182970.73263562</v>
      </c>
      <c r="L16" s="83">
        <f>+'Balance Financiero Minhacienda'!L18</f>
        <v>322578459.85461468</v>
      </c>
      <c r="M16" s="83">
        <f>+'Balance Financiero Minhacienda'!M18</f>
        <v>332255813.65025312</v>
      </c>
    </row>
    <row r="17" spans="1:13" ht="12.75" customHeight="1">
      <c r="A17" s="46" t="s">
        <v>328</v>
      </c>
      <c r="B17" s="6" t="s">
        <v>286</v>
      </c>
      <c r="C17" s="82">
        <f>+C18+C19</f>
        <v>2147916778</v>
      </c>
      <c r="D17" s="82">
        <f t="shared" ref="D17:M17" si="5">+D18+D19</f>
        <v>2212354281.3400002</v>
      </c>
      <c r="E17" s="82">
        <f t="shared" si="5"/>
        <v>2278724909.7802</v>
      </c>
      <c r="F17" s="82">
        <f t="shared" si="5"/>
        <v>2347086657.073606</v>
      </c>
      <c r="G17" s="82">
        <f t="shared" si="5"/>
        <v>2417499256.7858143</v>
      </c>
      <c r="H17" s="82">
        <f t="shared" si="5"/>
        <v>2490024234.4893889</v>
      </c>
      <c r="I17" s="82">
        <f t="shared" si="5"/>
        <v>2564724961.5240707</v>
      </c>
      <c r="J17" s="82">
        <f t="shared" si="5"/>
        <v>2641666710.3697929</v>
      </c>
      <c r="K17" s="82">
        <f t="shared" si="5"/>
        <v>2720916711.6808867</v>
      </c>
      <c r="L17" s="82">
        <f t="shared" si="5"/>
        <v>2802544213.0313134</v>
      </c>
      <c r="M17" s="82">
        <f t="shared" si="5"/>
        <v>2886620539.4222531</v>
      </c>
    </row>
    <row r="18" spans="1:13" ht="12.75" customHeight="1">
      <c r="A18" s="46" t="s">
        <v>329</v>
      </c>
      <c r="B18" s="46" t="s">
        <v>287</v>
      </c>
      <c r="C18" s="83">
        <f>+'Balance Financiero Minhacienda'!C23</f>
        <v>2147916778</v>
      </c>
      <c r="D18" s="83">
        <f>+'Balance Financiero Minhacienda'!D23</f>
        <v>2212354281.3400002</v>
      </c>
      <c r="E18" s="83">
        <f>+'Balance Financiero Minhacienda'!E23</f>
        <v>2278724909.7802</v>
      </c>
      <c r="F18" s="83">
        <f>+'Balance Financiero Minhacienda'!F23</f>
        <v>2347086657.073606</v>
      </c>
      <c r="G18" s="83">
        <f>+'Balance Financiero Minhacienda'!G23</f>
        <v>2417499256.7858143</v>
      </c>
      <c r="H18" s="83">
        <f>+'Balance Financiero Minhacienda'!H23</f>
        <v>2490024234.4893889</v>
      </c>
      <c r="I18" s="83">
        <f>+'Balance Financiero Minhacienda'!I23</f>
        <v>2564724961.5240707</v>
      </c>
      <c r="J18" s="83">
        <f>+'Balance Financiero Minhacienda'!J23</f>
        <v>2641666710.3697929</v>
      </c>
      <c r="K18" s="83">
        <f>+'Balance Financiero Minhacienda'!K23</f>
        <v>2720916711.6808867</v>
      </c>
      <c r="L18" s="83">
        <f>+'Balance Financiero Minhacienda'!L23</f>
        <v>2802544213.0313134</v>
      </c>
      <c r="M18" s="83">
        <f>+'Balance Financiero Minhacienda'!M23</f>
        <v>2886620539.4222531</v>
      </c>
    </row>
    <row r="19" spans="1:13" ht="12.75" customHeight="1">
      <c r="A19" s="46" t="s">
        <v>330</v>
      </c>
      <c r="B19" s="46" t="s">
        <v>288</v>
      </c>
      <c r="C19" s="83">
        <f>+'Balance Financiero Minhacienda'!C26+'Balance Financiero Minhacienda'!C29</f>
        <v>0</v>
      </c>
      <c r="D19" s="83">
        <f>+'Balance Financiero Minhacienda'!D26+'Balance Financiero Minhacienda'!D29</f>
        <v>0</v>
      </c>
      <c r="E19" s="83">
        <f>+'Balance Financiero Minhacienda'!E26+'Balance Financiero Minhacienda'!E29</f>
        <v>0</v>
      </c>
      <c r="F19" s="83">
        <f>+'Balance Financiero Minhacienda'!F26+'Balance Financiero Minhacienda'!F29</f>
        <v>0</v>
      </c>
      <c r="G19" s="83">
        <f>+'Balance Financiero Minhacienda'!G26+'Balance Financiero Minhacienda'!G29</f>
        <v>0</v>
      </c>
      <c r="H19" s="83">
        <f>+'Balance Financiero Minhacienda'!H26+'Balance Financiero Minhacienda'!H29</f>
        <v>0</v>
      </c>
      <c r="I19" s="83">
        <f>+'Balance Financiero Minhacienda'!I26+'Balance Financiero Minhacienda'!I29</f>
        <v>0</v>
      </c>
      <c r="J19" s="83">
        <f>+'Balance Financiero Minhacienda'!J26+'Balance Financiero Minhacienda'!J29</f>
        <v>0</v>
      </c>
      <c r="K19" s="83">
        <f>+'Balance Financiero Minhacienda'!K26+'Balance Financiero Minhacienda'!K29</f>
        <v>0</v>
      </c>
      <c r="L19" s="83">
        <f>+'Balance Financiero Minhacienda'!L26+'Balance Financiero Minhacienda'!L29</f>
        <v>0</v>
      </c>
      <c r="M19" s="83">
        <f>+'Balance Financiero Minhacienda'!M26+'Balance Financiero Minhacienda'!M29</f>
        <v>0</v>
      </c>
    </row>
    <row r="20" spans="1:13" ht="12.75" customHeight="1">
      <c r="A20" s="45" t="s">
        <v>331</v>
      </c>
      <c r="B20" s="24" t="s">
        <v>332</v>
      </c>
      <c r="C20" s="81">
        <f t="shared" ref="C20" si="6">+C21+C34</f>
        <v>155220057508</v>
      </c>
      <c r="D20" s="81">
        <f t="shared" ref="D20:M20" si="7">+D21+D34</f>
        <v>160120324713.23999</v>
      </c>
      <c r="E20" s="81">
        <f t="shared" si="7"/>
        <v>164946134454.63724</v>
      </c>
      <c r="F20" s="81">
        <f t="shared" si="7"/>
        <v>169916718488.27634</v>
      </c>
      <c r="G20" s="81">
        <f t="shared" si="7"/>
        <v>175036420042.92462</v>
      </c>
      <c r="H20" s="81">
        <f t="shared" si="7"/>
        <v>180309712644.21234</v>
      </c>
      <c r="I20" s="81">
        <f t="shared" si="7"/>
        <v>185741204023.53876</v>
      </c>
      <c r="J20" s="81">
        <f t="shared" si="7"/>
        <v>191705640144.2449</v>
      </c>
      <c r="K20" s="81">
        <f t="shared" si="7"/>
        <v>197837909348.57227</v>
      </c>
      <c r="L20" s="81">
        <f t="shared" si="7"/>
        <v>203773046629.02945</v>
      </c>
      <c r="M20" s="81">
        <f t="shared" si="7"/>
        <v>209886238027.90033</v>
      </c>
    </row>
    <row r="21" spans="1:13" ht="12.75" customHeight="1">
      <c r="A21" s="46" t="s">
        <v>333</v>
      </c>
      <c r="B21" s="46" t="s">
        <v>334</v>
      </c>
      <c r="C21" s="84">
        <f>+C22+C26</f>
        <v>11216712521</v>
      </c>
      <c r="D21" s="84">
        <f t="shared" ref="D21:M21" si="8">+D22+D26</f>
        <v>11457418395.529999</v>
      </c>
      <c r="E21" s="84">
        <f t="shared" si="8"/>
        <v>11707718090.2859</v>
      </c>
      <c r="F21" s="84">
        <f t="shared" si="8"/>
        <v>11967899419.874477</v>
      </c>
      <c r="G21" s="84">
        <f t="shared" si="8"/>
        <v>12238258833.340712</v>
      </c>
      <c r="H21" s="84">
        <f t="shared" si="8"/>
        <v>12519101673.200932</v>
      </c>
      <c r="I21" s="84">
        <f t="shared" si="8"/>
        <v>12810742442.24696</v>
      </c>
      <c r="J21" s="84">
        <f t="shared" si="8"/>
        <v>13121743425.35437</v>
      </c>
      <c r="K21" s="84">
        <f t="shared" si="8"/>
        <v>13503516031.535004</v>
      </c>
      <c r="L21" s="84">
        <f t="shared" si="8"/>
        <v>13908621512.481052</v>
      </c>
      <c r="M21" s="84">
        <f t="shared" si="8"/>
        <v>14325880157.855484</v>
      </c>
    </row>
    <row r="22" spans="1:13" ht="12.75" customHeight="1">
      <c r="A22" s="46" t="s">
        <v>335</v>
      </c>
      <c r="B22" s="46" t="s">
        <v>336</v>
      </c>
      <c r="C22" s="84">
        <f>+C23+C24+C25+C27</f>
        <v>10659800251</v>
      </c>
      <c r="D22" s="84">
        <f t="shared" ref="D22:M22" si="9">+D23+D24+D25+D27</f>
        <v>10979594258.529999</v>
      </c>
      <c r="E22" s="84">
        <f t="shared" si="9"/>
        <v>11308982086.2859</v>
      </c>
      <c r="F22" s="84">
        <f t="shared" si="9"/>
        <v>11648251548.874477</v>
      </c>
      <c r="G22" s="84">
        <f t="shared" si="9"/>
        <v>11997699095.340712</v>
      </c>
      <c r="H22" s="84">
        <f t="shared" si="9"/>
        <v>12357630068.200932</v>
      </c>
      <c r="I22" s="84">
        <f t="shared" si="9"/>
        <v>12728358970.24696</v>
      </c>
      <c r="J22" s="84">
        <f t="shared" si="9"/>
        <v>13110209739.35437</v>
      </c>
      <c r="K22" s="84">
        <f t="shared" si="9"/>
        <v>13503516031.535004</v>
      </c>
      <c r="L22" s="84">
        <f t="shared" si="9"/>
        <v>13908621512.481052</v>
      </c>
      <c r="M22" s="84">
        <f t="shared" si="9"/>
        <v>14325880157.855484</v>
      </c>
    </row>
    <row r="23" spans="1:13" ht="12.75" customHeight="1">
      <c r="A23" s="46" t="s">
        <v>337</v>
      </c>
      <c r="B23" s="46" t="s">
        <v>338</v>
      </c>
      <c r="C23" s="83">
        <f>+'Balance Financiero Minhacienda'!C51</f>
        <v>6789725665</v>
      </c>
      <c r="D23" s="83">
        <f>+'Balance Financiero Minhacienda'!D51</f>
        <v>6993417434.9499998</v>
      </c>
      <c r="E23" s="83">
        <f>+'Balance Financiero Minhacienda'!E51</f>
        <v>7203219957.9984999</v>
      </c>
      <c r="F23" s="83">
        <f>+'Balance Financiero Minhacienda'!F51</f>
        <v>7419316556.7384548</v>
      </c>
      <c r="G23" s="83">
        <f>+'Balance Financiero Minhacienda'!G51</f>
        <v>7641896053.440609</v>
      </c>
      <c r="H23" s="83">
        <f>+'Balance Financiero Minhacienda'!H51</f>
        <v>7871152935.0438271</v>
      </c>
      <c r="I23" s="83">
        <f>+'Balance Financiero Minhacienda'!I51</f>
        <v>8107287523.0951424</v>
      </c>
      <c r="J23" s="83">
        <f>+'Balance Financiero Minhacienda'!J51</f>
        <v>8350506148.7879972</v>
      </c>
      <c r="K23" s="83">
        <f>+'Balance Financiero Minhacienda'!K51</f>
        <v>8601021333.2516365</v>
      </c>
      <c r="L23" s="83">
        <f>+'Balance Financiero Minhacienda'!L51</f>
        <v>8859051973.2491856</v>
      </c>
      <c r="M23" s="83">
        <f>+'Balance Financiero Minhacienda'!M51</f>
        <v>9124823532.446661</v>
      </c>
    </row>
    <row r="24" spans="1:13" ht="12.75" customHeight="1">
      <c r="A24" s="46" t="s">
        <v>339</v>
      </c>
      <c r="B24" s="46" t="s">
        <v>340</v>
      </c>
      <c r="C24" s="83">
        <f>+'Balance Financiero Minhacienda'!C52</f>
        <v>1396636934</v>
      </c>
      <c r="D24" s="83">
        <f>+'Balance Financiero Minhacienda'!D52</f>
        <v>1438536042.02</v>
      </c>
      <c r="E24" s="83">
        <f>+'Balance Financiero Minhacienda'!E52</f>
        <v>1481692123.2806001</v>
      </c>
      <c r="F24" s="83">
        <f>+'Balance Financiero Minhacienda'!F52</f>
        <v>1526142886.9790182</v>
      </c>
      <c r="G24" s="83">
        <f>+'Balance Financiero Minhacienda'!G52</f>
        <v>1571927173.5883887</v>
      </c>
      <c r="H24" s="83">
        <f>+'Balance Financiero Minhacienda'!H52</f>
        <v>1619084988.7960403</v>
      </c>
      <c r="I24" s="83">
        <f>+'Balance Financiero Minhacienda'!I52</f>
        <v>1667657538.4599216</v>
      </c>
      <c r="J24" s="83">
        <f>+'Balance Financiero Minhacienda'!J52</f>
        <v>1717687264.6137192</v>
      </c>
      <c r="K24" s="83">
        <f>+'Balance Financiero Minhacienda'!K52</f>
        <v>1769217882.5521309</v>
      </c>
      <c r="L24" s="83">
        <f>+'Balance Financiero Minhacienda'!L52</f>
        <v>1822294419.0286949</v>
      </c>
      <c r="M24" s="83">
        <f>+'Balance Financiero Minhacienda'!M52</f>
        <v>1876963251.5995557</v>
      </c>
    </row>
    <row r="25" spans="1:13" ht="12.75" customHeight="1">
      <c r="A25" s="46" t="s">
        <v>341</v>
      </c>
      <c r="B25" s="47" t="s">
        <v>454</v>
      </c>
      <c r="C25" s="83">
        <f>+'Balance Financiero Minhacienda'!C53+SUM('Balance Financiero Minhacienda'!C61:C64)</f>
        <v>2473437652</v>
      </c>
      <c r="D25" s="83">
        <f>+'Balance Financiero Minhacienda'!D53+SUM('Balance Financiero Minhacienda'!D61:D64)</f>
        <v>2547640781.5599999</v>
      </c>
      <c r="E25" s="83">
        <f>+'Balance Financiero Minhacienda'!E53+SUM('Balance Financiero Minhacienda'!E61:E64)</f>
        <v>2624070005.0068002</v>
      </c>
      <c r="F25" s="83">
        <f>+'Balance Financiero Minhacienda'!F53+SUM('Balance Financiero Minhacienda'!F61:F64)</f>
        <v>2702792105.1570044</v>
      </c>
      <c r="G25" s="83">
        <f>+'Balance Financiero Minhacienda'!G53+SUM('Balance Financiero Minhacienda'!G61:G64)</f>
        <v>2783875868.3117146</v>
      </c>
      <c r="H25" s="83">
        <f>+'Balance Financiero Minhacienda'!H53+SUM('Balance Financiero Minhacienda'!H61:H64)</f>
        <v>2867392144.3610659</v>
      </c>
      <c r="I25" s="83">
        <f>+'Balance Financiero Minhacienda'!I53+SUM('Balance Financiero Minhacienda'!I61:I64)</f>
        <v>2953413908.6918974</v>
      </c>
      <c r="J25" s="83">
        <f>+'Balance Financiero Minhacienda'!J53+SUM('Balance Financiero Minhacienda'!J61:J64)</f>
        <v>3042016325.9526548</v>
      </c>
      <c r="K25" s="83">
        <f>+'Balance Financiero Minhacienda'!K53+SUM('Balance Financiero Minhacienda'!K61:K64)</f>
        <v>3133276815.7312346</v>
      </c>
      <c r="L25" s="83">
        <f>+'Balance Financiero Minhacienda'!L53+SUM('Balance Financiero Minhacienda'!L61:L64)</f>
        <v>3227275120.2031722</v>
      </c>
      <c r="M25" s="83">
        <f>+'Balance Financiero Minhacienda'!M53+SUM('Balance Financiero Minhacienda'!M61:M64)</f>
        <v>3324093373.809267</v>
      </c>
    </row>
    <row r="26" spans="1:13" ht="12.75" customHeight="1">
      <c r="A26" s="46" t="s">
        <v>342</v>
      </c>
      <c r="B26" s="46" t="s">
        <v>343</v>
      </c>
      <c r="C26" s="84">
        <f>+'Balance Financiero Minhacienda'!C85</f>
        <v>556912270</v>
      </c>
      <c r="D26" s="84">
        <f>+'Balance Financiero Minhacienda'!D85</f>
        <v>477824137</v>
      </c>
      <c r="E26" s="84">
        <f>+'Balance Financiero Minhacienda'!E85</f>
        <v>398736004</v>
      </c>
      <c r="F26" s="84">
        <f>+'Balance Financiero Minhacienda'!F85</f>
        <v>319647871</v>
      </c>
      <c r="G26" s="84">
        <f>+'Balance Financiero Minhacienda'!G85</f>
        <v>240559738</v>
      </c>
      <c r="H26" s="84">
        <f>+'Balance Financiero Minhacienda'!H85</f>
        <v>161471605</v>
      </c>
      <c r="I26" s="84">
        <f>+'Balance Financiero Minhacienda'!I85</f>
        <v>82383472</v>
      </c>
      <c r="J26" s="84">
        <f>+'Balance Financiero Minhacienda'!J85</f>
        <v>11533686</v>
      </c>
      <c r="K26" s="84">
        <f>+'Balance Financiero Minhacienda'!K85</f>
        <v>0</v>
      </c>
      <c r="L26" s="84">
        <f>+'Balance Financiero Minhacienda'!L85</f>
        <v>0</v>
      </c>
      <c r="M26" s="84">
        <f>+'Balance Financiero Minhacienda'!M85</f>
        <v>0</v>
      </c>
    </row>
    <row r="27" spans="1:13" ht="12.75" customHeight="1">
      <c r="A27" s="46" t="s">
        <v>344</v>
      </c>
      <c r="B27" s="47" t="s">
        <v>453</v>
      </c>
      <c r="C27" s="83">
        <f>+'Balance Financiero Minhacienda'!C65+'Balance Financiero Minhacienda'!C68</f>
        <v>0</v>
      </c>
      <c r="D27" s="83">
        <f>+'Balance Financiero Minhacienda'!D65+'Balance Financiero Minhacienda'!D68</f>
        <v>0</v>
      </c>
      <c r="E27" s="83">
        <f>+'Balance Financiero Minhacienda'!E65+'Balance Financiero Minhacienda'!E68</f>
        <v>0</v>
      </c>
      <c r="F27" s="83">
        <f>+'Balance Financiero Minhacienda'!F65+'Balance Financiero Minhacienda'!F68</f>
        <v>0</v>
      </c>
      <c r="G27" s="83">
        <f>+'Balance Financiero Minhacienda'!G65+'Balance Financiero Minhacienda'!G68</f>
        <v>0</v>
      </c>
      <c r="H27" s="83">
        <f>+'Balance Financiero Minhacienda'!H65+'Balance Financiero Minhacienda'!H68</f>
        <v>0</v>
      </c>
      <c r="I27" s="83">
        <f>+'Balance Financiero Minhacienda'!I65+'Balance Financiero Minhacienda'!I68</f>
        <v>0</v>
      </c>
      <c r="J27" s="83">
        <f>+'Balance Financiero Minhacienda'!J65+'Balance Financiero Minhacienda'!J68</f>
        <v>0</v>
      </c>
      <c r="K27" s="83">
        <f>+'Balance Financiero Minhacienda'!K65+'Balance Financiero Minhacienda'!K68</f>
        <v>0</v>
      </c>
      <c r="L27" s="83">
        <f>+'Balance Financiero Minhacienda'!L65+'Balance Financiero Minhacienda'!L68</f>
        <v>0</v>
      </c>
      <c r="M27" s="83">
        <f>+'Balance Financiero Minhacienda'!M65+'Balance Financiero Minhacienda'!M68</f>
        <v>0</v>
      </c>
    </row>
    <row r="28" spans="1:13" ht="12.75" customHeight="1">
      <c r="A28" s="45" t="s">
        <v>345</v>
      </c>
      <c r="B28" s="6" t="s">
        <v>346</v>
      </c>
      <c r="C28" s="82" t="e">
        <f t="shared" ref="C28" si="10">+C5-C21</f>
        <v>#REF!</v>
      </c>
      <c r="D28" s="82" t="e">
        <f t="shared" ref="D28:M28" si="11">+D5-D21</f>
        <v>#REF!</v>
      </c>
      <c r="E28" s="82" t="e">
        <f t="shared" si="11"/>
        <v>#REF!</v>
      </c>
      <c r="F28" s="82" t="e">
        <f t="shared" si="11"/>
        <v>#REF!</v>
      </c>
      <c r="G28" s="82" t="e">
        <f t="shared" si="11"/>
        <v>#REF!</v>
      </c>
      <c r="H28" s="82" t="e">
        <f t="shared" si="11"/>
        <v>#REF!</v>
      </c>
      <c r="I28" s="82" t="e">
        <f t="shared" si="11"/>
        <v>#REF!</v>
      </c>
      <c r="J28" s="82" t="e">
        <f t="shared" si="11"/>
        <v>#REF!</v>
      </c>
      <c r="K28" s="82" t="e">
        <f t="shared" si="11"/>
        <v>#REF!</v>
      </c>
      <c r="L28" s="82" t="e">
        <f t="shared" si="11"/>
        <v>#REF!</v>
      </c>
      <c r="M28" s="82" t="e">
        <f t="shared" si="11"/>
        <v>#REF!</v>
      </c>
    </row>
    <row r="29" spans="1:13" ht="12.75" customHeight="1">
      <c r="A29" s="45" t="s">
        <v>347</v>
      </c>
      <c r="B29" s="6" t="s">
        <v>348</v>
      </c>
      <c r="C29" s="82">
        <f t="shared" ref="C29:M29" si="12">+SUM(C30:C33)</f>
        <v>139062923892</v>
      </c>
      <c r="D29" s="82">
        <f t="shared" si="12"/>
        <v>143234811608.76001</v>
      </c>
      <c r="E29" s="82">
        <f t="shared" si="12"/>
        <v>147531855957.02283</v>
      </c>
      <c r="F29" s="82">
        <f t="shared" si="12"/>
        <v>151957811635.73349</v>
      </c>
      <c r="G29" s="82">
        <f t="shared" si="12"/>
        <v>156516545984.80548</v>
      </c>
      <c r="H29" s="82">
        <f t="shared" si="12"/>
        <v>161212042364.34967</v>
      </c>
      <c r="I29" s="82">
        <f t="shared" si="12"/>
        <v>166048403635.28018</v>
      </c>
      <c r="J29" s="82">
        <f t="shared" si="12"/>
        <v>171029855744.33859</v>
      </c>
      <c r="K29" s="82">
        <f t="shared" si="12"/>
        <v>176160751416.66876</v>
      </c>
      <c r="L29" s="82">
        <f t="shared" si="12"/>
        <v>181445573959.16879</v>
      </c>
      <c r="M29" s="82">
        <f t="shared" si="12"/>
        <v>186888941177.94388</v>
      </c>
    </row>
    <row r="30" spans="1:13" ht="12.75" customHeight="1">
      <c r="A30" s="46" t="s">
        <v>349</v>
      </c>
      <c r="B30" s="47" t="s">
        <v>350</v>
      </c>
      <c r="C30" s="83">
        <f>+'Balance Financiero Minhacienda'!C91+'Balance Financiero Minhacienda'!C92</f>
        <v>0</v>
      </c>
      <c r="D30" s="83">
        <f>+'Balance Financiero Minhacienda'!D91+'Balance Financiero Minhacienda'!D92</f>
        <v>0</v>
      </c>
      <c r="E30" s="83">
        <f>+'Balance Financiero Minhacienda'!E91+'Balance Financiero Minhacienda'!E92</f>
        <v>0</v>
      </c>
      <c r="F30" s="83">
        <f>+'Balance Financiero Minhacienda'!F91+'Balance Financiero Minhacienda'!F92</f>
        <v>0</v>
      </c>
      <c r="G30" s="83">
        <f>+'Balance Financiero Minhacienda'!G91+'Balance Financiero Minhacienda'!G92</f>
        <v>0</v>
      </c>
      <c r="H30" s="83">
        <f>+'Balance Financiero Minhacienda'!H91+'Balance Financiero Minhacienda'!H92</f>
        <v>0</v>
      </c>
      <c r="I30" s="83">
        <f>+'Balance Financiero Minhacienda'!I91+'Balance Financiero Minhacienda'!I92</f>
        <v>0</v>
      </c>
      <c r="J30" s="83">
        <f>+'Balance Financiero Minhacienda'!J91+'Balance Financiero Minhacienda'!J92</f>
        <v>0</v>
      </c>
      <c r="K30" s="83">
        <f>+'Balance Financiero Minhacienda'!K91+'Balance Financiero Minhacienda'!K92</f>
        <v>0</v>
      </c>
      <c r="L30" s="83">
        <f>+'Balance Financiero Minhacienda'!L91+'Balance Financiero Minhacienda'!L92</f>
        <v>0</v>
      </c>
      <c r="M30" s="83">
        <f>+'Balance Financiero Minhacienda'!M91+'Balance Financiero Minhacienda'!M92</f>
        <v>0</v>
      </c>
    </row>
    <row r="31" spans="1:13" ht="12.75" customHeight="1">
      <c r="A31" s="47" t="s">
        <v>351</v>
      </c>
      <c r="B31" s="47" t="s">
        <v>352</v>
      </c>
      <c r="C31" s="83">
        <f>+'Balance Financiero Minhacienda'!C31</f>
        <v>134404235465</v>
      </c>
      <c r="D31" s="83">
        <f>+'Balance Financiero Minhacienda'!D31</f>
        <v>138436362528.95001</v>
      </c>
      <c r="E31" s="83">
        <f>+'Balance Financiero Minhacienda'!E31</f>
        <v>142589453404.81851</v>
      </c>
      <c r="F31" s="83">
        <f>+'Balance Financiero Minhacienda'!F31</f>
        <v>146867137006.96307</v>
      </c>
      <c r="G31" s="83">
        <f>+'Balance Financiero Minhacienda'!G31</f>
        <v>151273151117.17194</v>
      </c>
      <c r="H31" s="83">
        <f>+'Balance Financiero Minhacienda'!H31</f>
        <v>155811345650.68713</v>
      </c>
      <c r="I31" s="83">
        <f>+'Balance Financiero Minhacienda'!I31</f>
        <v>160485686020.20776</v>
      </c>
      <c r="J31" s="83">
        <f>+'Balance Financiero Minhacienda'!J31</f>
        <v>165300256600.814</v>
      </c>
      <c r="K31" s="83">
        <f>+'Balance Financiero Minhacienda'!K31</f>
        <v>170259264298.83841</v>
      </c>
      <c r="L31" s="83">
        <f>+'Balance Financiero Minhacienda'!L31</f>
        <v>175367042227.80356</v>
      </c>
      <c r="M31" s="83">
        <f>+'Balance Financiero Minhacienda'!M31</f>
        <v>180628053494.63766</v>
      </c>
    </row>
    <row r="32" spans="1:13" ht="12.75" customHeight="1">
      <c r="A32" s="46" t="s">
        <v>353</v>
      </c>
      <c r="B32" s="47" t="s">
        <v>354</v>
      </c>
      <c r="C32" s="83">
        <f>+'Balance Financiero Minhacienda'!C90</f>
        <v>0</v>
      </c>
      <c r="D32" s="83">
        <f>+'Balance Financiero Minhacienda'!D90</f>
        <v>0</v>
      </c>
      <c r="E32" s="83">
        <f>+'Balance Financiero Minhacienda'!E90</f>
        <v>0</v>
      </c>
      <c r="F32" s="83">
        <f>+'Balance Financiero Minhacienda'!F90</f>
        <v>0</v>
      </c>
      <c r="G32" s="83">
        <f>+'Balance Financiero Minhacienda'!G90</f>
        <v>0</v>
      </c>
      <c r="H32" s="83">
        <f>+'Balance Financiero Minhacienda'!H90</f>
        <v>0</v>
      </c>
      <c r="I32" s="83">
        <f>+'Balance Financiero Minhacienda'!I90</f>
        <v>0</v>
      </c>
      <c r="J32" s="83">
        <f>+'Balance Financiero Minhacienda'!J90</f>
        <v>0</v>
      </c>
      <c r="K32" s="83">
        <f>+'Balance Financiero Minhacienda'!K90</f>
        <v>0</v>
      </c>
      <c r="L32" s="83">
        <f>+'Balance Financiero Minhacienda'!L90</f>
        <v>0</v>
      </c>
      <c r="M32" s="83">
        <f>+'Balance Financiero Minhacienda'!M90</f>
        <v>0</v>
      </c>
    </row>
    <row r="33" spans="1:13" ht="12.75" customHeight="1">
      <c r="A33" s="46" t="s">
        <v>355</v>
      </c>
      <c r="B33" s="47" t="s">
        <v>356</v>
      </c>
      <c r="C33" s="83">
        <f>+'Balance Financiero Minhacienda'!C46+'Balance Financiero Minhacienda'!C47+'Balance Financiero Minhacienda'!C93+'Balance Financiero Minhacienda'!C94+'Balance Financiero Minhacienda'!C98+'Balance Financiero Minhacienda'!C99+'Balance Financiero Minhacienda'!C100</f>
        <v>4658688427</v>
      </c>
      <c r="D33" s="83">
        <f>+'Balance Financiero Minhacienda'!D46+'Balance Financiero Minhacienda'!D47+'Balance Financiero Minhacienda'!D93+'Balance Financiero Minhacienda'!D94+'Balance Financiero Minhacienda'!D98+'Balance Financiero Minhacienda'!D99+'Balance Financiero Minhacienda'!D100</f>
        <v>4798449079.8100004</v>
      </c>
      <c r="E33" s="83">
        <f>+'Balance Financiero Minhacienda'!E46+'Balance Financiero Minhacienda'!E47+'Balance Financiero Minhacienda'!E93+'Balance Financiero Minhacienda'!E94+'Balance Financiero Minhacienda'!E98+'Balance Financiero Minhacienda'!E99+'Balance Financiero Minhacienda'!E100</f>
        <v>4942402552.2043009</v>
      </c>
      <c r="F33" s="83">
        <f>+'Balance Financiero Minhacienda'!F46+'Balance Financiero Minhacienda'!F47+'Balance Financiero Minhacienda'!F93+'Balance Financiero Minhacienda'!F94+'Balance Financiero Minhacienda'!F98+'Balance Financiero Minhacienda'!F99+'Balance Financiero Minhacienda'!F100</f>
        <v>5090674628.7704296</v>
      </c>
      <c r="G33" s="83">
        <f>+'Balance Financiero Minhacienda'!G46+'Balance Financiero Minhacienda'!G47+'Balance Financiero Minhacienda'!G93+'Balance Financiero Minhacienda'!G94+'Balance Financiero Minhacienda'!G98+'Balance Financiero Minhacienda'!G99+'Balance Financiero Minhacienda'!G100</f>
        <v>5243394867.633543</v>
      </c>
      <c r="H33" s="83">
        <f>+'Balance Financiero Minhacienda'!H46+'Balance Financiero Minhacienda'!H47+'Balance Financiero Minhacienda'!H93+'Balance Financiero Minhacienda'!H94+'Balance Financiero Minhacienda'!H98+'Balance Financiero Minhacienda'!H99+'Balance Financiero Minhacienda'!H100</f>
        <v>5400696713.662549</v>
      </c>
      <c r="I33" s="83">
        <f>+'Balance Financiero Minhacienda'!I46+'Balance Financiero Minhacienda'!I47+'Balance Financiero Minhacienda'!I93+'Balance Financiero Minhacienda'!I94+'Balance Financiero Minhacienda'!I98+'Balance Financiero Minhacienda'!I99+'Balance Financiero Minhacienda'!I100</f>
        <v>5562717615.0724258</v>
      </c>
      <c r="J33" s="83">
        <f>+'Balance Financiero Minhacienda'!J46+'Balance Financiero Minhacienda'!J47+'Balance Financiero Minhacienda'!J93+'Balance Financiero Minhacienda'!J94+'Balance Financiero Minhacienda'!J98+'Balance Financiero Minhacienda'!J99+'Balance Financiero Minhacienda'!J100</f>
        <v>5729599143.5245991</v>
      </c>
      <c r="K33" s="83">
        <f>+'Balance Financiero Minhacienda'!K46+'Balance Financiero Minhacienda'!K47+'Balance Financiero Minhacienda'!K93+'Balance Financiero Minhacienda'!K94+'Balance Financiero Minhacienda'!K98+'Balance Financiero Minhacienda'!K99+'Balance Financiero Minhacienda'!K100</f>
        <v>5901487117.8303375</v>
      </c>
      <c r="L33" s="83">
        <f>+'Balance Financiero Minhacienda'!L46+'Balance Financiero Minhacienda'!L47+'Balance Financiero Minhacienda'!L93+'Balance Financiero Minhacienda'!L94+'Balance Financiero Minhacienda'!L98+'Balance Financiero Minhacienda'!L99+'Balance Financiero Minhacienda'!L100</f>
        <v>6078531731.3652477</v>
      </c>
      <c r="M33" s="83">
        <f>+'Balance Financiero Minhacienda'!M46+'Balance Financiero Minhacienda'!M47+'Balance Financiero Minhacienda'!M93+'Balance Financiero Minhacienda'!M94+'Balance Financiero Minhacienda'!M98+'Balance Financiero Minhacienda'!M99+'Balance Financiero Minhacienda'!M100</f>
        <v>6260887683.3062057</v>
      </c>
    </row>
    <row r="34" spans="1:13" ht="12.75" customHeight="1">
      <c r="A34" s="45" t="s">
        <v>357</v>
      </c>
      <c r="B34" s="6" t="s">
        <v>358</v>
      </c>
      <c r="C34" s="82">
        <f t="shared" ref="C34" si="13">+C35+C36</f>
        <v>144003344987</v>
      </c>
      <c r="D34" s="82">
        <f t="shared" ref="D34:M34" si="14">+D35+D36</f>
        <v>148662906317.70999</v>
      </c>
      <c r="E34" s="82">
        <f t="shared" si="14"/>
        <v>153238416364.35135</v>
      </c>
      <c r="F34" s="82">
        <f t="shared" si="14"/>
        <v>157948819068.40186</v>
      </c>
      <c r="G34" s="82">
        <f t="shared" si="14"/>
        <v>162798161209.58392</v>
      </c>
      <c r="H34" s="82">
        <f t="shared" si="14"/>
        <v>167790610971.01141</v>
      </c>
      <c r="I34" s="82">
        <f t="shared" si="14"/>
        <v>172930461581.29181</v>
      </c>
      <c r="J34" s="82">
        <f t="shared" si="14"/>
        <v>178583896718.89053</v>
      </c>
      <c r="K34" s="82">
        <f t="shared" si="14"/>
        <v>184334393317.03726</v>
      </c>
      <c r="L34" s="82">
        <f t="shared" si="14"/>
        <v>189864425116.5484</v>
      </c>
      <c r="M34" s="82">
        <f t="shared" si="14"/>
        <v>195560357870.04486</v>
      </c>
    </row>
    <row r="35" spans="1:13" ht="12.75" customHeight="1">
      <c r="A35" s="48" t="s">
        <v>359</v>
      </c>
      <c r="B35" s="47" t="s">
        <v>360</v>
      </c>
      <c r="C35" s="83">
        <f>+'Balance Financiero Minhacienda'!C102+'Balance Financiero Minhacienda'!C148</f>
        <v>27047282853</v>
      </c>
      <c r="D35" s="83">
        <f>+'Balance Financiero Minhacienda'!D102+'Balance Financiero Minhacienda'!D148</f>
        <v>28198162319.689999</v>
      </c>
      <c r="E35" s="83">
        <f>+'Balance Financiero Minhacienda'!E102+'Balance Financiero Minhacienda'!E148</f>
        <v>28560979356.374844</v>
      </c>
      <c r="F35" s="83">
        <f>+'Balance Financiero Minhacienda'!F102+'Balance Financiero Minhacienda'!F148</f>
        <v>29531058950.186028</v>
      </c>
      <c r="G35" s="83">
        <f>+'Balance Financiero Minhacienda'!G102+'Balance Financiero Minhacienda'!G148</f>
        <v>30527868287.821636</v>
      </c>
      <c r="H35" s="83">
        <f>+'Balance Financiero Minhacienda'!H102+'Balance Financiero Minhacienda'!H148</f>
        <v>31552209261.596237</v>
      </c>
      <c r="I35" s="83">
        <f>+'Balance Financiero Minhacienda'!I102+'Balance Financiero Minhacienda'!I148</f>
        <v>32604907820.594219</v>
      </c>
      <c r="J35" s="83">
        <f>+'Balance Financiero Minhacienda'!J102+'Balance Financiero Minhacienda'!J148</f>
        <v>34048576345.371986</v>
      </c>
      <c r="K35" s="83">
        <f>+'Balance Financiero Minhacienda'!K102+'Balance Financiero Minhacienda'!K148</f>
        <v>35463013332.313133</v>
      </c>
      <c r="L35" s="83">
        <f>+'Balance Financiero Minhacienda'!L102+'Balance Financiero Minhacienda'!L148</f>
        <v>36526903732.282516</v>
      </c>
      <c r="M35" s="83">
        <f>+'Balance Financiero Minhacienda'!M102+'Balance Financiero Minhacienda'!M148</f>
        <v>37622710844.251045</v>
      </c>
    </row>
    <row r="36" spans="1:13" ht="12.75" customHeight="1">
      <c r="A36" s="47" t="s">
        <v>361</v>
      </c>
      <c r="B36" s="47" t="s">
        <v>362</v>
      </c>
      <c r="C36" s="83">
        <f>+'Balance Financiero Minhacienda'!C69</f>
        <v>116956062134</v>
      </c>
      <c r="D36" s="83">
        <f>+'Balance Financiero Minhacienda'!D69</f>
        <v>120464743998.02</v>
      </c>
      <c r="E36" s="83">
        <f>+'Balance Financiero Minhacienda'!E69</f>
        <v>124677437007.9765</v>
      </c>
      <c r="F36" s="83">
        <f>+'Balance Financiero Minhacienda'!F69</f>
        <v>128417760118.21582</v>
      </c>
      <c r="G36" s="83">
        <f>+'Balance Financiero Minhacienda'!G69</f>
        <v>132270292921.76228</v>
      </c>
      <c r="H36" s="83">
        <f>+'Balance Financiero Minhacienda'!H69</f>
        <v>136238401709.41518</v>
      </c>
      <c r="I36" s="83">
        <f>+'Balance Financiero Minhacienda'!I69</f>
        <v>140325553760.6976</v>
      </c>
      <c r="J36" s="83">
        <f>+'Balance Financiero Minhacienda'!J69</f>
        <v>144535320373.51855</v>
      </c>
      <c r="K36" s="83">
        <f>+'Balance Financiero Minhacienda'!K69</f>
        <v>148871379984.72412</v>
      </c>
      <c r="L36" s="83">
        <f>+'Balance Financiero Minhacienda'!L69</f>
        <v>153337521384.26587</v>
      </c>
      <c r="M36" s="83">
        <f>+'Balance Financiero Minhacienda'!M69</f>
        <v>157937647025.79382</v>
      </c>
    </row>
    <row r="37" spans="1:13" ht="12.75" customHeight="1">
      <c r="A37" s="45" t="s">
        <v>363</v>
      </c>
      <c r="B37" s="24" t="s">
        <v>364</v>
      </c>
      <c r="C37" s="81" t="e">
        <f t="shared" ref="C37" si="15">+C28+C29-C34</f>
        <v>#REF!</v>
      </c>
      <c r="D37" s="81" t="e">
        <f t="shared" ref="D37:M37" si="16">+D28+D29-D34</f>
        <v>#REF!</v>
      </c>
      <c r="E37" s="81" t="e">
        <f t="shared" si="16"/>
        <v>#REF!</v>
      </c>
      <c r="F37" s="81" t="e">
        <f t="shared" si="16"/>
        <v>#REF!</v>
      </c>
      <c r="G37" s="81" t="e">
        <f t="shared" si="16"/>
        <v>#REF!</v>
      </c>
      <c r="H37" s="81" t="e">
        <f t="shared" si="16"/>
        <v>#REF!</v>
      </c>
      <c r="I37" s="81" t="e">
        <f t="shared" si="16"/>
        <v>#REF!</v>
      </c>
      <c r="J37" s="81" t="e">
        <f t="shared" si="16"/>
        <v>#REF!</v>
      </c>
      <c r="K37" s="81" t="e">
        <f t="shared" si="16"/>
        <v>#REF!</v>
      </c>
      <c r="L37" s="81" t="e">
        <f t="shared" si="16"/>
        <v>#REF!</v>
      </c>
      <c r="M37" s="81" t="e">
        <f t="shared" si="16"/>
        <v>#REF!</v>
      </c>
    </row>
    <row r="38" spans="1:13" ht="12.75" customHeight="1">
      <c r="A38" s="46" t="s">
        <v>365</v>
      </c>
      <c r="B38" s="24" t="s">
        <v>366</v>
      </c>
      <c r="C38" s="81" t="e">
        <f t="shared" ref="C38" si="17">+C39+C42</f>
        <v>#REF!</v>
      </c>
      <c r="D38" s="81" t="e">
        <f t="shared" ref="D38:M38" si="18">+D39+D42</f>
        <v>#REF!</v>
      </c>
      <c r="E38" s="81" t="e">
        <f t="shared" si="18"/>
        <v>#REF!</v>
      </c>
      <c r="F38" s="81" t="e">
        <f t="shared" si="18"/>
        <v>#REF!</v>
      </c>
      <c r="G38" s="81" t="e">
        <f t="shared" si="18"/>
        <v>#REF!</v>
      </c>
      <c r="H38" s="81" t="e">
        <f t="shared" si="18"/>
        <v>#REF!</v>
      </c>
      <c r="I38" s="81" t="e">
        <f t="shared" si="18"/>
        <v>#REF!</v>
      </c>
      <c r="J38" s="81" t="e">
        <f t="shared" si="18"/>
        <v>#REF!</v>
      </c>
      <c r="K38" s="81" t="e">
        <f t="shared" si="18"/>
        <v>#REF!</v>
      </c>
      <c r="L38" s="81" t="e">
        <f t="shared" si="18"/>
        <v>#REF!</v>
      </c>
      <c r="M38" s="81" t="e">
        <f t="shared" si="18"/>
        <v>#REF!</v>
      </c>
    </row>
    <row r="39" spans="1:13" ht="12.75" customHeight="1">
      <c r="A39" s="46" t="s">
        <v>367</v>
      </c>
      <c r="B39" s="6" t="s">
        <v>368</v>
      </c>
      <c r="C39" s="82">
        <f t="shared" ref="C39" si="19">+C40-C41</f>
        <v>-740000000</v>
      </c>
      <c r="D39" s="82">
        <f t="shared" ref="D39:M39" si="20">+D40-D41</f>
        <v>-740000000</v>
      </c>
      <c r="E39" s="82">
        <f t="shared" si="20"/>
        <v>-740000000</v>
      </c>
      <c r="F39" s="82">
        <f t="shared" si="20"/>
        <v>-740000000</v>
      </c>
      <c r="G39" s="82">
        <f t="shared" si="20"/>
        <v>-740000000</v>
      </c>
      <c r="H39" s="82">
        <f t="shared" si="20"/>
        <v>-740000000</v>
      </c>
      <c r="I39" s="82">
        <f t="shared" si="20"/>
        <v>-740000000</v>
      </c>
      <c r="J39" s="82">
        <f t="shared" si="20"/>
        <v>-370000000</v>
      </c>
      <c r="K39" s="82">
        <f t="shared" si="20"/>
        <v>0</v>
      </c>
      <c r="L39" s="82">
        <f t="shared" si="20"/>
        <v>0</v>
      </c>
      <c r="M39" s="82">
        <f t="shared" si="20"/>
        <v>0</v>
      </c>
    </row>
    <row r="40" spans="1:13" ht="12.75" customHeight="1">
      <c r="A40" s="46" t="s">
        <v>369</v>
      </c>
      <c r="B40" s="46" t="s">
        <v>370</v>
      </c>
      <c r="C40" s="83">
        <f>+'Balance Financiero Minhacienda'!C155+'Balance Financiero Minhacienda'!C158</f>
        <v>0</v>
      </c>
      <c r="D40" s="83">
        <f>+'Balance Financiero Minhacienda'!D155+'Balance Financiero Minhacienda'!D158</f>
        <v>0</v>
      </c>
      <c r="E40" s="83">
        <f>+'Balance Financiero Minhacienda'!E155+'Balance Financiero Minhacienda'!E158</f>
        <v>0</v>
      </c>
      <c r="F40" s="83">
        <f>+'Balance Financiero Minhacienda'!F155+'Balance Financiero Minhacienda'!F158</f>
        <v>0</v>
      </c>
      <c r="G40" s="83">
        <f>+'Balance Financiero Minhacienda'!G155+'Balance Financiero Minhacienda'!G158</f>
        <v>0</v>
      </c>
      <c r="H40" s="83">
        <f>+'Balance Financiero Minhacienda'!H155+'Balance Financiero Minhacienda'!H158</f>
        <v>0</v>
      </c>
      <c r="I40" s="83">
        <f>+'Balance Financiero Minhacienda'!I155+'Balance Financiero Minhacienda'!I158</f>
        <v>0</v>
      </c>
      <c r="J40" s="83">
        <f>+'Balance Financiero Minhacienda'!J155+'Balance Financiero Minhacienda'!J158</f>
        <v>0</v>
      </c>
      <c r="K40" s="83">
        <f>+'Balance Financiero Minhacienda'!K155+'Balance Financiero Minhacienda'!K158</f>
        <v>0</v>
      </c>
      <c r="L40" s="83">
        <f>+'Balance Financiero Minhacienda'!L155+'Balance Financiero Minhacienda'!L158</f>
        <v>0</v>
      </c>
      <c r="M40" s="83">
        <f>+'Balance Financiero Minhacienda'!M155+'Balance Financiero Minhacienda'!M158</f>
        <v>0</v>
      </c>
    </row>
    <row r="41" spans="1:13" ht="12.75" customHeight="1">
      <c r="A41" s="47" t="s">
        <v>371</v>
      </c>
      <c r="B41" s="46" t="s">
        <v>372</v>
      </c>
      <c r="C41" s="83">
        <f>+'Balance Financiero Minhacienda'!C156+'Balance Financiero Minhacienda'!C159</f>
        <v>740000000</v>
      </c>
      <c r="D41" s="83">
        <f>+'Balance Financiero Minhacienda'!D156+'Balance Financiero Minhacienda'!D159</f>
        <v>740000000</v>
      </c>
      <c r="E41" s="83">
        <f>+'Balance Financiero Minhacienda'!E156+'Balance Financiero Minhacienda'!E159</f>
        <v>740000000</v>
      </c>
      <c r="F41" s="83">
        <f>+'Balance Financiero Minhacienda'!F156+'Balance Financiero Minhacienda'!F159</f>
        <v>740000000</v>
      </c>
      <c r="G41" s="83">
        <f>+'Balance Financiero Minhacienda'!G156+'Balance Financiero Minhacienda'!G159</f>
        <v>740000000</v>
      </c>
      <c r="H41" s="83">
        <f>+'Balance Financiero Minhacienda'!H156+'Balance Financiero Minhacienda'!H159</f>
        <v>740000000</v>
      </c>
      <c r="I41" s="83">
        <f>+'Balance Financiero Minhacienda'!I156+'Balance Financiero Minhacienda'!I159</f>
        <v>740000000</v>
      </c>
      <c r="J41" s="83">
        <f>+'Balance Financiero Minhacienda'!J156+'Balance Financiero Minhacienda'!J159</f>
        <v>370000000</v>
      </c>
      <c r="K41" s="83">
        <f>+'Balance Financiero Minhacienda'!K156+'Balance Financiero Minhacienda'!K159</f>
        <v>0</v>
      </c>
      <c r="L41" s="83">
        <f>+'Balance Financiero Minhacienda'!L156+'Balance Financiero Minhacienda'!L159</f>
        <v>0</v>
      </c>
      <c r="M41" s="83">
        <f>+'Balance Financiero Minhacienda'!M156+'Balance Financiero Minhacienda'!M159</f>
        <v>0</v>
      </c>
    </row>
    <row r="42" spans="1:13" ht="12.75" customHeight="1">
      <c r="A42" s="47" t="s">
        <v>373</v>
      </c>
      <c r="B42" s="6" t="s">
        <v>374</v>
      </c>
      <c r="C42" s="82" t="e">
        <f t="shared" ref="C42" si="21">-C37-C39</f>
        <v>#REF!</v>
      </c>
      <c r="D42" s="82" t="e">
        <f t="shared" ref="D42:M42" si="22">-D37-D39</f>
        <v>#REF!</v>
      </c>
      <c r="E42" s="82" t="e">
        <f t="shared" si="22"/>
        <v>#REF!</v>
      </c>
      <c r="F42" s="82" t="e">
        <f t="shared" si="22"/>
        <v>#REF!</v>
      </c>
      <c r="G42" s="82" t="e">
        <f t="shared" si="22"/>
        <v>#REF!</v>
      </c>
      <c r="H42" s="82" t="e">
        <f t="shared" si="22"/>
        <v>#REF!</v>
      </c>
      <c r="I42" s="82" t="e">
        <f t="shared" si="22"/>
        <v>#REF!</v>
      </c>
      <c r="J42" s="82" t="e">
        <f t="shared" si="22"/>
        <v>#REF!</v>
      </c>
      <c r="K42" s="82" t="e">
        <f t="shared" si="22"/>
        <v>#REF!</v>
      </c>
      <c r="L42" s="82" t="e">
        <f t="shared" si="22"/>
        <v>#REF!</v>
      </c>
      <c r="M42" s="82" t="e">
        <f t="shared" si="22"/>
        <v>#REF!</v>
      </c>
    </row>
    <row r="43" spans="1:13" ht="12.75" customHeight="1">
      <c r="A43" s="49"/>
      <c r="B43" s="6" t="s">
        <v>311</v>
      </c>
      <c r="C43" s="82"/>
      <c r="D43" s="82"/>
      <c r="E43" s="82"/>
      <c r="F43" s="82"/>
      <c r="G43" s="82"/>
      <c r="H43" s="82"/>
      <c r="I43" s="82"/>
      <c r="J43" s="82"/>
      <c r="K43" s="82"/>
      <c r="L43" s="82"/>
      <c r="M43" s="82"/>
    </row>
    <row r="44" spans="1:13" s="53" customFormat="1" ht="6" customHeight="1">
      <c r="A44" s="50"/>
      <c r="B44" s="51"/>
      <c r="C44" s="85"/>
      <c r="D44" s="85"/>
      <c r="E44" s="85"/>
      <c r="F44" s="85"/>
      <c r="G44" s="85"/>
      <c r="H44" s="85"/>
      <c r="I44" s="85"/>
      <c r="J44" s="85"/>
      <c r="K44" s="85"/>
      <c r="L44" s="85"/>
      <c r="M44" s="85"/>
    </row>
    <row r="45" spans="1:13" s="53" customFormat="1" ht="12.75" customHeight="1">
      <c r="A45" s="50"/>
      <c r="B45" s="24" t="s">
        <v>375</v>
      </c>
      <c r="C45" s="91">
        <f>+C3</f>
        <v>2018</v>
      </c>
      <c r="D45" s="91">
        <f t="shared" ref="D45:M45" si="23">+D3</f>
        <v>2019</v>
      </c>
      <c r="E45" s="91">
        <f t="shared" si="23"/>
        <v>2020</v>
      </c>
      <c r="F45" s="91">
        <f t="shared" si="23"/>
        <v>2021</v>
      </c>
      <c r="G45" s="91">
        <f t="shared" si="23"/>
        <v>2022</v>
      </c>
      <c r="H45" s="91">
        <f t="shared" si="23"/>
        <v>2023</v>
      </c>
      <c r="I45" s="91">
        <f t="shared" si="23"/>
        <v>2024</v>
      </c>
      <c r="J45" s="91">
        <f t="shared" si="23"/>
        <v>2025</v>
      </c>
      <c r="K45" s="91">
        <f t="shared" si="23"/>
        <v>2026</v>
      </c>
      <c r="L45" s="91">
        <f t="shared" si="23"/>
        <v>2027</v>
      </c>
      <c r="M45" s="91">
        <f t="shared" si="23"/>
        <v>2028</v>
      </c>
    </row>
    <row r="46" spans="1:13" s="53" customFormat="1" ht="12.75" customHeight="1">
      <c r="A46" s="50"/>
      <c r="B46" s="54" t="s">
        <v>376</v>
      </c>
      <c r="C46" s="86">
        <f>+C40</f>
        <v>0</v>
      </c>
      <c r="D46" s="86">
        <f t="shared" ref="D46:M46" si="24">+D40</f>
        <v>0</v>
      </c>
      <c r="E46" s="86">
        <f t="shared" si="24"/>
        <v>0</v>
      </c>
      <c r="F46" s="86">
        <f t="shared" si="24"/>
        <v>0</v>
      </c>
      <c r="G46" s="86">
        <f t="shared" si="24"/>
        <v>0</v>
      </c>
      <c r="H46" s="86">
        <f t="shared" si="24"/>
        <v>0</v>
      </c>
      <c r="I46" s="86">
        <f t="shared" si="24"/>
        <v>0</v>
      </c>
      <c r="J46" s="86">
        <f t="shared" si="24"/>
        <v>0</v>
      </c>
      <c r="K46" s="86">
        <f t="shared" si="24"/>
        <v>0</v>
      </c>
      <c r="L46" s="86">
        <f t="shared" si="24"/>
        <v>0</v>
      </c>
      <c r="M46" s="86">
        <f t="shared" si="24"/>
        <v>0</v>
      </c>
    </row>
    <row r="47" spans="1:13" s="53" customFormat="1" ht="12.75" customHeight="1">
      <c r="A47" s="50"/>
      <c r="B47" s="90" t="s">
        <v>459</v>
      </c>
      <c r="C47" s="87">
        <f>+'Balance Financiero Minhacienda'!C95+'Balance Financiero Minhacienda'!C96+'Balance Financiero Minhacienda'!C97</f>
        <v>0</v>
      </c>
      <c r="D47" s="87">
        <f>+'Balance Financiero Minhacienda'!D95+'Balance Financiero Minhacienda'!D96+'Balance Financiero Minhacienda'!D97</f>
        <v>0</v>
      </c>
      <c r="E47" s="87">
        <f>+'Balance Financiero Minhacienda'!E95+'Balance Financiero Minhacienda'!E96+'Balance Financiero Minhacienda'!E97</f>
        <v>0</v>
      </c>
      <c r="F47" s="87">
        <f>+'Balance Financiero Minhacienda'!F95+'Balance Financiero Minhacienda'!F96+'Balance Financiero Minhacienda'!F97</f>
        <v>0</v>
      </c>
      <c r="G47" s="87">
        <f>+'Balance Financiero Minhacienda'!G95+'Balance Financiero Minhacienda'!G96+'Balance Financiero Minhacienda'!G97</f>
        <v>0</v>
      </c>
      <c r="H47" s="87">
        <f>+'Balance Financiero Minhacienda'!H95+'Balance Financiero Minhacienda'!H96+'Balance Financiero Minhacienda'!H97</f>
        <v>0</v>
      </c>
      <c r="I47" s="87">
        <f>+'Balance Financiero Minhacienda'!I95+'Balance Financiero Minhacienda'!I96+'Balance Financiero Minhacienda'!I97</f>
        <v>0</v>
      </c>
      <c r="J47" s="87">
        <f>+'Balance Financiero Minhacienda'!J95+'Balance Financiero Minhacienda'!J96+'Balance Financiero Minhacienda'!J97</f>
        <v>0</v>
      </c>
      <c r="K47" s="87">
        <f>+'Balance Financiero Minhacienda'!K95+'Balance Financiero Minhacienda'!K96+'Balance Financiero Minhacienda'!K97</f>
        <v>0</v>
      </c>
      <c r="L47" s="87">
        <f>+'Balance Financiero Minhacienda'!L95+'Balance Financiero Minhacienda'!L96+'Balance Financiero Minhacienda'!L97</f>
        <v>0</v>
      </c>
      <c r="M47" s="87">
        <f>+'Balance Financiero Minhacienda'!M95+'Balance Financiero Minhacienda'!M96+'Balance Financiero Minhacienda'!M97</f>
        <v>0</v>
      </c>
    </row>
    <row r="48" spans="1:13" s="53" customFormat="1" ht="4.5" customHeight="1">
      <c r="A48" s="50"/>
      <c r="B48" s="55"/>
      <c r="C48" s="88"/>
      <c r="D48" s="88"/>
      <c r="E48" s="88"/>
      <c r="F48" s="88"/>
      <c r="G48" s="88"/>
      <c r="H48" s="88"/>
      <c r="I48" s="88"/>
      <c r="J48" s="88"/>
      <c r="K48" s="88"/>
      <c r="L48" s="88"/>
      <c r="M48" s="88"/>
    </row>
    <row r="49" spans="1:13" s="53" customFormat="1" ht="12.75" customHeight="1">
      <c r="A49" s="50"/>
      <c r="B49" s="24" t="s">
        <v>315</v>
      </c>
      <c r="C49" s="91">
        <f>+C3</f>
        <v>2018</v>
      </c>
      <c r="D49" s="91">
        <f t="shared" ref="D49:M49" si="25">+D3</f>
        <v>2019</v>
      </c>
      <c r="E49" s="91">
        <f t="shared" si="25"/>
        <v>2020</v>
      </c>
      <c r="F49" s="91">
        <f t="shared" si="25"/>
        <v>2021</v>
      </c>
      <c r="G49" s="91">
        <f t="shared" si="25"/>
        <v>2022</v>
      </c>
      <c r="H49" s="91">
        <f t="shared" si="25"/>
        <v>2023</v>
      </c>
      <c r="I49" s="91">
        <f t="shared" si="25"/>
        <v>2024</v>
      </c>
      <c r="J49" s="91">
        <f t="shared" si="25"/>
        <v>2025</v>
      </c>
      <c r="K49" s="91">
        <f t="shared" si="25"/>
        <v>2026</v>
      </c>
      <c r="L49" s="91">
        <f t="shared" si="25"/>
        <v>2027</v>
      </c>
      <c r="M49" s="91">
        <f t="shared" si="25"/>
        <v>2028</v>
      </c>
    </row>
    <row r="50" spans="1:13" s="53" customFormat="1" ht="12.75" customHeight="1">
      <c r="A50" s="50"/>
      <c r="B50" s="6" t="s">
        <v>26</v>
      </c>
      <c r="C50" s="82" t="e">
        <f t="shared" ref="C50" si="26">+C4+C46+C47</f>
        <v>#REF!</v>
      </c>
      <c r="D50" s="82" t="e">
        <f t="shared" ref="D50:M50" si="27">+D4+D46+D47</f>
        <v>#REF!</v>
      </c>
      <c r="E50" s="82" t="e">
        <f t="shared" si="27"/>
        <v>#REF!</v>
      </c>
      <c r="F50" s="82" t="e">
        <f t="shared" si="27"/>
        <v>#REF!</v>
      </c>
      <c r="G50" s="82" t="e">
        <f t="shared" si="27"/>
        <v>#REF!</v>
      </c>
      <c r="H50" s="82" t="e">
        <f t="shared" si="27"/>
        <v>#REF!</v>
      </c>
      <c r="I50" s="82" t="e">
        <f t="shared" si="27"/>
        <v>#REF!</v>
      </c>
      <c r="J50" s="82" t="e">
        <f t="shared" si="27"/>
        <v>#REF!</v>
      </c>
      <c r="K50" s="82" t="e">
        <f t="shared" si="27"/>
        <v>#REF!</v>
      </c>
      <c r="L50" s="82" t="e">
        <f t="shared" si="27"/>
        <v>#REF!</v>
      </c>
      <c r="M50" s="82" t="e">
        <f t="shared" si="27"/>
        <v>#REF!</v>
      </c>
    </row>
    <row r="51" spans="1:13" s="53" customFormat="1" ht="12.75" customHeight="1">
      <c r="A51" s="50"/>
      <c r="B51" s="6" t="s">
        <v>289</v>
      </c>
      <c r="C51" s="82">
        <f>+C20+C41</f>
        <v>155960057508</v>
      </c>
      <c r="D51" s="82">
        <f t="shared" ref="D51:M51" si="28">+D20+D41</f>
        <v>160860324713.23999</v>
      </c>
      <c r="E51" s="82">
        <f t="shared" si="28"/>
        <v>165686134454.63724</v>
      </c>
      <c r="F51" s="82">
        <f t="shared" si="28"/>
        <v>170656718488.27634</v>
      </c>
      <c r="G51" s="82">
        <f t="shared" si="28"/>
        <v>175776420042.92462</v>
      </c>
      <c r="H51" s="82">
        <f t="shared" si="28"/>
        <v>181049712644.21234</v>
      </c>
      <c r="I51" s="82">
        <f t="shared" si="28"/>
        <v>186481204023.53876</v>
      </c>
      <c r="J51" s="82">
        <f t="shared" si="28"/>
        <v>192075640144.2449</v>
      </c>
      <c r="K51" s="82">
        <f t="shared" si="28"/>
        <v>197837909348.57227</v>
      </c>
      <c r="L51" s="82">
        <f t="shared" si="28"/>
        <v>203773046629.02945</v>
      </c>
      <c r="M51" s="82">
        <f t="shared" si="28"/>
        <v>209886238027.90033</v>
      </c>
    </row>
    <row r="52" spans="1:13" s="53" customFormat="1" ht="12.75" customHeight="1">
      <c r="A52" s="50"/>
      <c r="B52" s="6" t="s">
        <v>316</v>
      </c>
      <c r="C52" s="82" t="e">
        <f>+C50-C51</f>
        <v>#REF!</v>
      </c>
      <c r="D52" s="82" t="e">
        <f t="shared" ref="D52:M52" si="29">+D50-D51</f>
        <v>#REF!</v>
      </c>
      <c r="E52" s="82" t="e">
        <f t="shared" si="29"/>
        <v>#REF!</v>
      </c>
      <c r="F52" s="82" t="e">
        <f t="shared" si="29"/>
        <v>#REF!</v>
      </c>
      <c r="G52" s="82" t="e">
        <f t="shared" si="29"/>
        <v>#REF!</v>
      </c>
      <c r="H52" s="82" t="e">
        <f t="shared" si="29"/>
        <v>#REF!</v>
      </c>
      <c r="I52" s="82" t="e">
        <f t="shared" si="29"/>
        <v>#REF!</v>
      </c>
      <c r="J52" s="82" t="e">
        <f t="shared" si="29"/>
        <v>#REF!</v>
      </c>
      <c r="K52" s="82" t="e">
        <f t="shared" si="29"/>
        <v>#REF!</v>
      </c>
      <c r="L52" s="82" t="e">
        <f t="shared" si="29"/>
        <v>#REF!</v>
      </c>
      <c r="M52" s="82" t="e">
        <f t="shared" si="29"/>
        <v>#REF!</v>
      </c>
    </row>
    <row r="53" spans="1:13" s="53" customFormat="1">
      <c r="A53" s="50"/>
      <c r="B53" s="51"/>
      <c r="C53" s="85"/>
      <c r="D53" s="52"/>
      <c r="E53" s="52"/>
      <c r="F53" s="52"/>
      <c r="G53" s="52"/>
      <c r="H53" s="52"/>
      <c r="I53" s="52"/>
      <c r="J53" s="52"/>
      <c r="K53" s="52"/>
      <c r="L53" s="52"/>
      <c r="M53" s="52"/>
    </row>
    <row r="54" spans="1:13" s="53" customFormat="1">
      <c r="A54" s="50"/>
      <c r="B54" s="51"/>
      <c r="C54" s="85"/>
      <c r="D54" s="52"/>
      <c r="E54" s="52"/>
      <c r="F54" s="52"/>
      <c r="G54" s="52"/>
      <c r="H54" s="52"/>
      <c r="I54" s="52"/>
      <c r="J54" s="52"/>
      <c r="K54" s="52"/>
      <c r="L54" s="52"/>
      <c r="M54" s="52"/>
    </row>
  </sheetData>
  <sheetProtection password="CF66" sheet="1" objects="1" scenarios="1"/>
  <mergeCells count="1">
    <mergeCell ref="A1:C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pane xSplit="2" ySplit="2" topLeftCell="C3" activePane="bottomRight" state="frozen"/>
      <selection pane="topRight" activeCell="C1" sqref="C1"/>
      <selection pane="bottomLeft" activeCell="A3" sqref="A3"/>
      <selection pane="bottomRight" activeCell="J38" sqref="A1:J38"/>
    </sheetView>
  </sheetViews>
  <sheetFormatPr baseColWidth="10" defaultRowHeight="16.5"/>
  <cols>
    <col min="1" max="1" width="6.42578125" style="77" customWidth="1"/>
    <col min="2" max="2" width="56.28515625" style="1" customWidth="1"/>
    <col min="3" max="13" width="12.85546875" style="59" bestFit="1" customWidth="1"/>
    <col min="14" max="16384" width="11.42578125" style="59"/>
  </cols>
  <sheetData>
    <row r="1" spans="1:14">
      <c r="A1" s="97" t="s">
        <v>575</v>
      </c>
      <c r="B1" s="58"/>
      <c r="D1" s="60"/>
      <c r="E1" s="60"/>
      <c r="F1" s="60"/>
      <c r="G1" s="60"/>
      <c r="H1" s="60"/>
      <c r="I1" s="60"/>
      <c r="J1" s="60"/>
      <c r="K1" s="60"/>
      <c r="L1" s="60"/>
      <c r="M1" s="60"/>
    </row>
    <row r="2" spans="1:14" ht="15" customHeight="1">
      <c r="A2" s="62" t="s">
        <v>277</v>
      </c>
      <c r="B2" s="69" t="s">
        <v>377</v>
      </c>
      <c r="C2" s="63">
        <v>2018</v>
      </c>
      <c r="D2" s="63">
        <v>2019</v>
      </c>
      <c r="E2" s="63">
        <v>2020</v>
      </c>
      <c r="F2" s="63">
        <v>2021</v>
      </c>
      <c r="G2" s="63">
        <v>2022</v>
      </c>
      <c r="H2" s="63">
        <v>2023</v>
      </c>
      <c r="I2" s="63">
        <v>2024</v>
      </c>
      <c r="J2" s="63">
        <v>2025</v>
      </c>
      <c r="K2" s="63">
        <v>2026</v>
      </c>
      <c r="L2" s="63">
        <v>2027</v>
      </c>
      <c r="M2" s="63">
        <v>2028</v>
      </c>
      <c r="N2" s="59">
        <v>2028</v>
      </c>
    </row>
    <row r="3" spans="1:14" ht="15" customHeight="1">
      <c r="A3" s="75" t="s">
        <v>378</v>
      </c>
      <c r="B3" s="64" t="s">
        <v>379</v>
      </c>
      <c r="C3" s="162">
        <f>+SUM(C4:C9)-SUM(C10:C12)</f>
        <v>27835729817</v>
      </c>
      <c r="D3" s="162">
        <f>+SUM(D4:D9)-SUM(D10:D12)</f>
        <v>28892267191.510002</v>
      </c>
      <c r="E3" s="162">
        <f>+SUM(E4:E9)-SUM(E10:E12)</f>
        <v>29759035207.255306</v>
      </c>
      <c r="F3" s="162">
        <f t="shared" ref="F3:L3" si="0">+SUM(F4:F9)-SUM(F10:F12)</f>
        <v>30651806263.472961</v>
      </c>
      <c r="G3" s="162">
        <f t="shared" si="0"/>
        <v>31571360451.377151</v>
      </c>
      <c r="H3" s="162">
        <f t="shared" si="0"/>
        <v>32518501264.918468</v>
      </c>
      <c r="I3" s="162">
        <f t="shared" si="0"/>
        <v>33494056302.86602</v>
      </c>
      <c r="J3" s="162">
        <f t="shared" si="0"/>
        <v>34498877991.951996</v>
      </c>
      <c r="K3" s="162">
        <f t="shared" si="0"/>
        <v>35533844331.710564</v>
      </c>
      <c r="L3" s="162">
        <f t="shared" si="0"/>
        <v>36599859661.66188</v>
      </c>
      <c r="M3" s="162">
        <f>+SUM(M4:M9)-SUM(M10:M12)</f>
        <v>37697855451.511742</v>
      </c>
    </row>
    <row r="4" spans="1:14" s="61" customFormat="1" ht="14.25" hidden="1" customHeight="1">
      <c r="A4" s="65" t="s">
        <v>380</v>
      </c>
      <c r="B4" s="70" t="s">
        <v>381</v>
      </c>
      <c r="C4" s="163">
        <f>+'Balance Financiero Minhacienda'!C6</f>
        <v>14717002338</v>
      </c>
      <c r="D4" s="163">
        <f>+'Balance Financiero Minhacienda'!D6</f>
        <v>15158512408.139999</v>
      </c>
      <c r="E4" s="163">
        <f>+'Balance Financiero Minhacienda'!E6</f>
        <v>15613267780.384203</v>
      </c>
      <c r="F4" s="163">
        <f>+'Balance Financiero Minhacienda'!F6</f>
        <v>16081665813.795727</v>
      </c>
      <c r="G4" s="163">
        <f>+'Balance Financiero Minhacienda'!G6</f>
        <v>16564115788.2096</v>
      </c>
      <c r="H4" s="163">
        <f>+'Balance Financiero Minhacienda'!H6</f>
        <v>17061039261.85589</v>
      </c>
      <c r="I4" s="163">
        <f>+'Balance Financiero Minhacienda'!I6</f>
        <v>17572870439.711563</v>
      </c>
      <c r="J4" s="163">
        <f>+'Balance Financiero Minhacienda'!J6</f>
        <v>18100056552.902912</v>
      </c>
      <c r="K4" s="163">
        <f>+'Balance Financiero Minhacienda'!K6</f>
        <v>18643058249.490002</v>
      </c>
      <c r="L4" s="163">
        <f>+'Balance Financiero Minhacienda'!L6</f>
        <v>19202349996.974705</v>
      </c>
      <c r="M4" s="163">
        <f>+'Balance Financiero Minhacienda'!M6</f>
        <v>19778420496.883942</v>
      </c>
    </row>
    <row r="5" spans="1:14" s="61" customFormat="1" ht="14.25" hidden="1" customHeight="1">
      <c r="A5" s="65" t="s">
        <v>382</v>
      </c>
      <c r="B5" s="70" t="s">
        <v>383</v>
      </c>
      <c r="C5" s="163">
        <f>+'Balance Financiero Minhacienda'!C18</f>
        <v>32214500</v>
      </c>
      <c r="D5" s="163">
        <f>+'Balance Financiero Minhacienda'!D18</f>
        <v>254646415</v>
      </c>
      <c r="E5" s="163">
        <f>+'Balance Financiero Minhacienda'!E18</f>
        <v>262285807.45000002</v>
      </c>
      <c r="F5" s="163">
        <f>+'Balance Financiero Minhacienda'!F18</f>
        <v>270154381.6735</v>
      </c>
      <c r="G5" s="163">
        <f>+'Balance Financiero Minhacienda'!G18</f>
        <v>278259013.12370503</v>
      </c>
      <c r="H5" s="163">
        <f>+'Balance Financiero Minhacienda'!H18</f>
        <v>286606783.51741618</v>
      </c>
      <c r="I5" s="163">
        <f>+'Balance Financiero Minhacienda'!I18</f>
        <v>295204987.02293867</v>
      </c>
      <c r="J5" s="163">
        <f>+'Balance Financiero Minhacienda'!J18</f>
        <v>304061136.63362682</v>
      </c>
      <c r="K5" s="163">
        <f>+'Balance Financiero Minhacienda'!K18</f>
        <v>313182970.73263562</v>
      </c>
      <c r="L5" s="163">
        <f>+'Balance Financiero Minhacienda'!L18</f>
        <v>322578459.85461468</v>
      </c>
      <c r="M5" s="163">
        <f>+'Balance Financiero Minhacienda'!M18</f>
        <v>332255813.65025312</v>
      </c>
    </row>
    <row r="6" spans="1:14" s="61" customFormat="1" ht="14.25" hidden="1" customHeight="1">
      <c r="A6" s="65" t="s">
        <v>384</v>
      </c>
      <c r="B6" s="71" t="s">
        <v>457</v>
      </c>
      <c r="C6" s="163">
        <f>SUM('Balance Financiero Minhacienda'!C47)</f>
        <v>4658688427</v>
      </c>
      <c r="D6" s="163">
        <f>SUM('Balance Financiero Minhacienda'!D47)</f>
        <v>4798449079.8100004</v>
      </c>
      <c r="E6" s="163">
        <f>SUM('Balance Financiero Minhacienda'!E47)</f>
        <v>4942402552.2043009</v>
      </c>
      <c r="F6" s="163">
        <f>SUM('Balance Financiero Minhacienda'!F47)</f>
        <v>5090674628.7704296</v>
      </c>
      <c r="G6" s="163">
        <f>SUM('Balance Financiero Minhacienda'!G47)</f>
        <v>5243394867.633543</v>
      </c>
      <c r="H6" s="163">
        <f>SUM('Balance Financiero Minhacienda'!H47)</f>
        <v>5400696713.662549</v>
      </c>
      <c r="I6" s="163">
        <f>SUM('Balance Financiero Minhacienda'!I47)</f>
        <v>5562717615.0724258</v>
      </c>
      <c r="J6" s="163">
        <f>SUM('Balance Financiero Minhacienda'!J47)</f>
        <v>5729599143.5245991</v>
      </c>
      <c r="K6" s="163">
        <f>SUM('Balance Financiero Minhacienda'!K47)</f>
        <v>5901487117.8303375</v>
      </c>
      <c r="L6" s="163">
        <f>SUM('Balance Financiero Minhacienda'!L47)</f>
        <v>6078531731.3652477</v>
      </c>
      <c r="M6" s="163">
        <f>SUM('Balance Financiero Minhacienda'!M47)</f>
        <v>6260887683.3062057</v>
      </c>
    </row>
    <row r="7" spans="1:14" s="61" customFormat="1" ht="14.25" hidden="1" customHeight="1">
      <c r="A7" s="65" t="s">
        <v>385</v>
      </c>
      <c r="B7" s="71" t="s">
        <v>458</v>
      </c>
      <c r="C7" s="163">
        <f>+'Balance Financiero Minhacienda'!C22+'Balance Financiero Minhacienda'!C41+'Balance Financiero Minhacienda'!C42</f>
        <v>8427824552</v>
      </c>
      <c r="D7" s="163">
        <f>+'Balance Financiero Minhacienda'!D22+'Balance Financiero Minhacienda'!D41+'Balance Financiero Minhacienda'!D42</f>
        <v>8680659288.5599995</v>
      </c>
      <c r="E7" s="163">
        <f>+'Balance Financiero Minhacienda'!E22+'Balance Financiero Minhacienda'!E41+'Balance Financiero Minhacienda'!E42</f>
        <v>8941079067.2168007</v>
      </c>
      <c r="F7" s="163">
        <f>+'Balance Financiero Minhacienda'!F22+'Balance Financiero Minhacienda'!F41+'Balance Financiero Minhacienda'!F42</f>
        <v>9209311439.233305</v>
      </c>
      <c r="G7" s="163">
        <f>+'Balance Financiero Minhacienda'!G22+'Balance Financiero Minhacienda'!G41+'Balance Financiero Minhacienda'!G42</f>
        <v>9485590782.4103031</v>
      </c>
      <c r="H7" s="163">
        <f>+'Balance Financiero Minhacienda'!H22+'Balance Financiero Minhacienda'!H41+'Balance Financiero Minhacienda'!H42</f>
        <v>9770158505.8826141</v>
      </c>
      <c r="I7" s="163">
        <f>+'Balance Financiero Minhacienda'!I22+'Balance Financiero Minhacienda'!I41+'Balance Financiero Minhacienda'!I42</f>
        <v>10063263261.059093</v>
      </c>
      <c r="J7" s="163">
        <f>+'Balance Financiero Minhacienda'!J22+'Balance Financiero Minhacienda'!J41+'Balance Financiero Minhacienda'!J42</f>
        <v>10365161158.890865</v>
      </c>
      <c r="K7" s="163">
        <f>+'Balance Financiero Minhacienda'!K22+'Balance Financiero Minhacienda'!K41+'Balance Financiero Minhacienda'!K42</f>
        <v>10676115993.657591</v>
      </c>
      <c r="L7" s="163">
        <f>+'Balance Financiero Minhacienda'!L22+'Balance Financiero Minhacienda'!L41+'Balance Financiero Minhacienda'!L42</f>
        <v>10996399473.467319</v>
      </c>
      <c r="M7" s="163">
        <f>+'Balance Financiero Minhacienda'!M22+'Balance Financiero Minhacienda'!M41+'Balance Financiero Minhacienda'!M42</f>
        <v>11326291457.671341</v>
      </c>
    </row>
    <row r="8" spans="1:14" s="61" customFormat="1" ht="14.25" hidden="1" customHeight="1">
      <c r="A8" s="65" t="s">
        <v>386</v>
      </c>
      <c r="B8" s="71" t="s">
        <v>387</v>
      </c>
      <c r="C8" s="163">
        <f>+'Balance Financiero Minhacienda'!C95</f>
        <v>0</v>
      </c>
      <c r="D8" s="163">
        <f>+'Balance Financiero Minhacienda'!D95</f>
        <v>0</v>
      </c>
      <c r="E8" s="163">
        <f>+'Balance Financiero Minhacienda'!E95</f>
        <v>0</v>
      </c>
      <c r="F8" s="163">
        <f>+'Balance Financiero Minhacienda'!F95</f>
        <v>0</v>
      </c>
      <c r="G8" s="163">
        <f>+'Balance Financiero Minhacienda'!G95</f>
        <v>0</v>
      </c>
      <c r="H8" s="163">
        <f>+'Balance Financiero Minhacienda'!H95</f>
        <v>0</v>
      </c>
      <c r="I8" s="163">
        <f>+'Balance Financiero Minhacienda'!I95</f>
        <v>0</v>
      </c>
      <c r="J8" s="163">
        <f>+'Balance Financiero Minhacienda'!J95</f>
        <v>0</v>
      </c>
      <c r="K8" s="163">
        <f>+'Balance Financiero Minhacienda'!K95</f>
        <v>0</v>
      </c>
      <c r="L8" s="163">
        <f>+'Balance Financiero Minhacienda'!L95</f>
        <v>0</v>
      </c>
      <c r="M8" s="163">
        <f>+'Balance Financiero Minhacienda'!M95</f>
        <v>0</v>
      </c>
    </row>
    <row r="9" spans="1:14" s="61" customFormat="1" ht="14.25" hidden="1" customHeight="1">
      <c r="A9" s="65" t="s">
        <v>388</v>
      </c>
      <c r="B9" s="71" t="s">
        <v>389</v>
      </c>
      <c r="C9" s="163">
        <f>+'Balance Financiero Minhacienda'!C93</f>
        <v>0</v>
      </c>
      <c r="D9" s="163">
        <f>+'Balance Financiero Minhacienda'!D93</f>
        <v>0</v>
      </c>
      <c r="E9" s="163">
        <f>+'Balance Financiero Minhacienda'!E93</f>
        <v>0</v>
      </c>
      <c r="F9" s="163">
        <f>+'Balance Financiero Minhacienda'!F93</f>
        <v>0</v>
      </c>
      <c r="G9" s="163">
        <f>+'Balance Financiero Minhacienda'!G93</f>
        <v>0</v>
      </c>
      <c r="H9" s="163">
        <f>+'Balance Financiero Minhacienda'!H93</f>
        <v>0</v>
      </c>
      <c r="I9" s="163">
        <f>+'Balance Financiero Minhacienda'!I93</f>
        <v>0</v>
      </c>
      <c r="J9" s="163">
        <f>+'Balance Financiero Minhacienda'!J93</f>
        <v>0</v>
      </c>
      <c r="K9" s="163">
        <f>+'Balance Financiero Minhacienda'!K93</f>
        <v>0</v>
      </c>
      <c r="L9" s="163">
        <f>+'Balance Financiero Minhacienda'!L93</f>
        <v>0</v>
      </c>
      <c r="M9" s="163">
        <f>+'Balance Financiero Minhacienda'!M93</f>
        <v>0</v>
      </c>
    </row>
    <row r="10" spans="1:14" s="61" customFormat="1" ht="14.25" hidden="1" customHeight="1">
      <c r="A10" s="65" t="s">
        <v>390</v>
      </c>
      <c r="B10" s="71" t="s">
        <v>391</v>
      </c>
      <c r="C10" s="164">
        <f>+'Balance Financiero Minhacienda'!C96</f>
        <v>0</v>
      </c>
      <c r="D10" s="164">
        <f>+'Balance Financiero Minhacienda'!D96</f>
        <v>0</v>
      </c>
      <c r="E10" s="164">
        <f>+'Balance Financiero Minhacienda'!E96</f>
        <v>0</v>
      </c>
      <c r="F10" s="164">
        <f>+'Balance Financiero Minhacienda'!F96</f>
        <v>0</v>
      </c>
      <c r="G10" s="164">
        <f>+'Balance Financiero Minhacienda'!G96</f>
        <v>0</v>
      </c>
      <c r="H10" s="164">
        <f>+'Balance Financiero Minhacienda'!H96</f>
        <v>0</v>
      </c>
      <c r="I10" s="164">
        <f>+'Balance Financiero Minhacienda'!I96</f>
        <v>0</v>
      </c>
      <c r="J10" s="164">
        <f>+'Balance Financiero Minhacienda'!J96</f>
        <v>0</v>
      </c>
      <c r="K10" s="164">
        <f>+'Balance Financiero Minhacienda'!K96</f>
        <v>0</v>
      </c>
      <c r="L10" s="164">
        <f>+'Balance Financiero Minhacienda'!L96</f>
        <v>0</v>
      </c>
      <c r="M10" s="164">
        <f>+'Balance Financiero Minhacienda'!M96</f>
        <v>0</v>
      </c>
    </row>
    <row r="11" spans="1:14" s="61" customFormat="1" ht="14.25" hidden="1" customHeight="1">
      <c r="A11" s="65" t="s">
        <v>392</v>
      </c>
      <c r="B11" s="71" t="s">
        <v>393</v>
      </c>
      <c r="C11" s="164"/>
      <c r="D11" s="164"/>
      <c r="E11" s="164"/>
      <c r="F11" s="164"/>
      <c r="G11" s="164"/>
      <c r="H11" s="164"/>
      <c r="I11" s="164"/>
      <c r="J11" s="164"/>
      <c r="K11" s="164"/>
      <c r="L11" s="164"/>
      <c r="M11" s="164"/>
    </row>
    <row r="12" spans="1:14" s="61" customFormat="1" ht="14.25" hidden="1" customHeight="1">
      <c r="A12" s="65" t="s">
        <v>394</v>
      </c>
      <c r="B12" s="71" t="s">
        <v>395</v>
      </c>
      <c r="C12" s="164"/>
      <c r="D12" s="164"/>
      <c r="E12" s="164"/>
      <c r="F12" s="164"/>
      <c r="G12" s="164"/>
      <c r="H12" s="164"/>
      <c r="I12" s="164"/>
      <c r="J12" s="164"/>
      <c r="K12" s="164"/>
      <c r="L12" s="164"/>
      <c r="M12" s="164"/>
    </row>
    <row r="13" spans="1:14" ht="14.25" customHeight="1">
      <c r="A13" s="75" t="s">
        <v>396</v>
      </c>
      <c r="B13" s="64" t="s">
        <v>397</v>
      </c>
      <c r="C13" s="162">
        <v>11160735680</v>
      </c>
      <c r="D13" s="162">
        <v>10194572</v>
      </c>
      <c r="E13" s="162">
        <v>10635110.513</v>
      </c>
      <c r="F13" s="162">
        <f t="shared" ref="F13:M13" si="1">+SUM(F14:F18)-SUM(F19:F20)</f>
        <v>11648251548.874477</v>
      </c>
      <c r="G13" s="162">
        <f t="shared" si="1"/>
        <v>11997699095.340712</v>
      </c>
      <c r="H13" s="162">
        <f t="shared" si="1"/>
        <v>12357630068.200932</v>
      </c>
      <c r="I13" s="162">
        <f t="shared" si="1"/>
        <v>12728358970.24696</v>
      </c>
      <c r="J13" s="162">
        <f t="shared" si="1"/>
        <v>13110209739.35437</v>
      </c>
      <c r="K13" s="162">
        <f t="shared" si="1"/>
        <v>13503516031.535004</v>
      </c>
      <c r="L13" s="162">
        <f t="shared" si="1"/>
        <v>13908621512.481052</v>
      </c>
      <c r="M13" s="162">
        <f t="shared" si="1"/>
        <v>14325880157.855484</v>
      </c>
    </row>
    <row r="14" spans="1:14" s="61" customFormat="1" ht="14.25" hidden="1" customHeight="1">
      <c r="A14" s="66" t="s">
        <v>398</v>
      </c>
      <c r="B14" s="71" t="s">
        <v>399</v>
      </c>
      <c r="C14" s="163">
        <f>+'Balance Financiero Minhacienda'!C51</f>
        <v>6789725665</v>
      </c>
      <c r="D14" s="163"/>
      <c r="E14" s="163"/>
      <c r="F14" s="163">
        <f>+'Balance Financiero Minhacienda'!F51</f>
        <v>7419316556.7384548</v>
      </c>
      <c r="G14" s="163">
        <f>+'Balance Financiero Minhacienda'!G51</f>
        <v>7641896053.440609</v>
      </c>
      <c r="H14" s="163">
        <f>+'Balance Financiero Minhacienda'!H51</f>
        <v>7871152935.0438271</v>
      </c>
      <c r="I14" s="163">
        <f>+'Balance Financiero Minhacienda'!I51</f>
        <v>8107287523.0951424</v>
      </c>
      <c r="J14" s="163">
        <f>+'Balance Financiero Minhacienda'!J51</f>
        <v>8350506148.7879972</v>
      </c>
      <c r="K14" s="163">
        <f>+'Balance Financiero Minhacienda'!K51</f>
        <v>8601021333.2516365</v>
      </c>
      <c r="L14" s="163">
        <f>+'Balance Financiero Minhacienda'!L51</f>
        <v>8859051973.2491856</v>
      </c>
      <c r="M14" s="163">
        <f>+'Balance Financiero Minhacienda'!M51</f>
        <v>9124823532.446661</v>
      </c>
    </row>
    <row r="15" spans="1:14" s="61" customFormat="1" ht="14.25" hidden="1" customHeight="1">
      <c r="A15" s="66" t="s">
        <v>400</v>
      </c>
      <c r="B15" s="71" t="s">
        <v>401</v>
      </c>
      <c r="C15" s="163">
        <f>+'Balance Financiero Minhacienda'!C52</f>
        <v>1396636934</v>
      </c>
      <c r="D15" s="163"/>
      <c r="E15" s="163"/>
      <c r="F15" s="163">
        <f>+'Balance Financiero Minhacienda'!F52</f>
        <v>1526142886.9790182</v>
      </c>
      <c r="G15" s="163">
        <f>+'Balance Financiero Minhacienda'!G52</f>
        <v>1571927173.5883887</v>
      </c>
      <c r="H15" s="163">
        <f>+'Balance Financiero Minhacienda'!H52</f>
        <v>1619084988.7960403</v>
      </c>
      <c r="I15" s="163">
        <f>+'Balance Financiero Minhacienda'!I52</f>
        <v>1667657538.4599216</v>
      </c>
      <c r="J15" s="163">
        <f>+'Balance Financiero Minhacienda'!J52</f>
        <v>1717687264.6137192</v>
      </c>
      <c r="K15" s="163">
        <f>+'Balance Financiero Minhacienda'!K52</f>
        <v>1769217882.5521309</v>
      </c>
      <c r="L15" s="163">
        <f>+'Balance Financiero Minhacienda'!L52</f>
        <v>1822294419.0286949</v>
      </c>
      <c r="M15" s="163">
        <f>+'Balance Financiero Minhacienda'!M52</f>
        <v>1876963251.5995557</v>
      </c>
    </row>
    <row r="16" spans="1:14" s="61" customFormat="1" ht="14.25" hidden="1" customHeight="1">
      <c r="A16" s="66" t="s">
        <v>402</v>
      </c>
      <c r="B16" s="71" t="s">
        <v>403</v>
      </c>
      <c r="C16" s="163">
        <f>+'Balance Financiero Minhacienda'!C53</f>
        <v>2473437652</v>
      </c>
      <c r="D16" s="163"/>
      <c r="E16" s="163"/>
      <c r="F16" s="163">
        <f>+'Balance Financiero Minhacienda'!F53</f>
        <v>2702792105.1570044</v>
      </c>
      <c r="G16" s="163">
        <f>+'Balance Financiero Minhacienda'!G53</f>
        <v>2783875868.3117146</v>
      </c>
      <c r="H16" s="163">
        <f>+'Balance Financiero Minhacienda'!H53</f>
        <v>2867392144.3610659</v>
      </c>
      <c r="I16" s="163">
        <f>+'Balance Financiero Minhacienda'!I53</f>
        <v>2953413908.6918974</v>
      </c>
      <c r="J16" s="163">
        <f>+'Balance Financiero Minhacienda'!J53</f>
        <v>3042016325.9526548</v>
      </c>
      <c r="K16" s="163">
        <f>+'Balance Financiero Minhacienda'!K53</f>
        <v>3133276815.7312346</v>
      </c>
      <c r="L16" s="163">
        <f>+'Balance Financiero Minhacienda'!L53</f>
        <v>3227275120.2031722</v>
      </c>
      <c r="M16" s="163">
        <f>+'Balance Financiero Minhacienda'!M53</f>
        <v>3324093373.809267</v>
      </c>
    </row>
    <row r="17" spans="1:13" s="61" customFormat="1" ht="14.25" hidden="1" customHeight="1">
      <c r="A17" s="66" t="s">
        <v>404</v>
      </c>
      <c r="B17" s="71" t="s">
        <v>405</v>
      </c>
      <c r="C17" s="164">
        <f>+'Balance Financiero Minhacienda'!C61</f>
        <v>0</v>
      </c>
      <c r="D17" s="164">
        <f>+'Balance Financiero Minhacienda'!D61</f>
        <v>0</v>
      </c>
      <c r="E17" s="164">
        <f>+'Balance Financiero Minhacienda'!E61</f>
        <v>0</v>
      </c>
      <c r="F17" s="164">
        <f>+'Balance Financiero Minhacienda'!F61</f>
        <v>0</v>
      </c>
      <c r="G17" s="164">
        <f>+'Balance Financiero Minhacienda'!G61</f>
        <v>0</v>
      </c>
      <c r="H17" s="164">
        <f>+'Balance Financiero Minhacienda'!H61</f>
        <v>0</v>
      </c>
      <c r="I17" s="164">
        <f>+'Balance Financiero Minhacienda'!I61</f>
        <v>0</v>
      </c>
      <c r="J17" s="164">
        <f>+'Balance Financiero Minhacienda'!J61</f>
        <v>0</v>
      </c>
      <c r="K17" s="164">
        <f>+'Balance Financiero Minhacienda'!K61</f>
        <v>0</v>
      </c>
      <c r="L17" s="164">
        <f>+'Balance Financiero Minhacienda'!L61</f>
        <v>0</v>
      </c>
      <c r="M17" s="164">
        <f>+'Balance Financiero Minhacienda'!M61</f>
        <v>0</v>
      </c>
    </row>
    <row r="18" spans="1:13" s="61" customFormat="1" ht="14.25" hidden="1" customHeight="1">
      <c r="A18" s="66" t="s">
        <v>406</v>
      </c>
      <c r="B18" s="71" t="s">
        <v>407</v>
      </c>
      <c r="C18" s="163"/>
      <c r="D18" s="163"/>
      <c r="E18" s="163"/>
      <c r="F18" s="163"/>
      <c r="G18" s="163"/>
      <c r="H18" s="163"/>
      <c r="I18" s="163"/>
      <c r="J18" s="163"/>
      <c r="K18" s="163"/>
      <c r="L18" s="163"/>
      <c r="M18" s="163"/>
    </row>
    <row r="19" spans="1:13" s="61" customFormat="1" ht="14.25" hidden="1" customHeight="1">
      <c r="A19" s="66" t="s">
        <v>408</v>
      </c>
      <c r="B19" s="71" t="s">
        <v>409</v>
      </c>
      <c r="C19" s="164"/>
      <c r="D19" s="164"/>
      <c r="E19" s="164"/>
      <c r="F19" s="164"/>
      <c r="G19" s="164"/>
      <c r="H19" s="164"/>
      <c r="I19" s="164"/>
      <c r="J19" s="164"/>
      <c r="K19" s="164"/>
      <c r="L19" s="164"/>
      <c r="M19" s="164"/>
    </row>
    <row r="20" spans="1:13" s="61" customFormat="1" ht="14.25" hidden="1" customHeight="1">
      <c r="A20" s="67" t="s">
        <v>410</v>
      </c>
      <c r="B20" s="71" t="s">
        <v>411</v>
      </c>
      <c r="C20" s="164">
        <f>+'Balance Financiero Minhacienda'!C64</f>
        <v>0</v>
      </c>
      <c r="D20" s="164">
        <f>+'Balance Financiero Minhacienda'!D64</f>
        <v>0</v>
      </c>
      <c r="E20" s="164">
        <f>+'Balance Financiero Minhacienda'!E64</f>
        <v>0</v>
      </c>
      <c r="F20" s="164">
        <f>+'Balance Financiero Minhacienda'!F64</f>
        <v>0</v>
      </c>
      <c r="G20" s="164">
        <f>+'Balance Financiero Minhacienda'!G64</f>
        <v>0</v>
      </c>
      <c r="H20" s="164">
        <f>+'Balance Financiero Minhacienda'!H64</f>
        <v>0</v>
      </c>
      <c r="I20" s="164">
        <f>+'Balance Financiero Minhacienda'!I64</f>
        <v>0</v>
      </c>
      <c r="J20" s="164">
        <f>+'Balance Financiero Minhacienda'!J64</f>
        <v>0</v>
      </c>
      <c r="K20" s="164">
        <f>+'Balance Financiero Minhacienda'!K64</f>
        <v>0</v>
      </c>
      <c r="L20" s="164">
        <f>+'Balance Financiero Minhacienda'!L64</f>
        <v>0</v>
      </c>
      <c r="M20" s="164">
        <f>+'Balance Financiero Minhacienda'!M64</f>
        <v>0</v>
      </c>
    </row>
    <row r="21" spans="1:13" ht="14.25" customHeight="1">
      <c r="A21" s="75" t="s">
        <v>412</v>
      </c>
      <c r="B21" s="64" t="s">
        <v>413</v>
      </c>
      <c r="C21" s="162">
        <f t="shared" ref="C21" si="2">+C3-C13</f>
        <v>16674994137</v>
      </c>
      <c r="D21" s="162">
        <f t="shared" ref="D21:M21" si="3">+D3-D13</f>
        <v>28882072619.510002</v>
      </c>
      <c r="E21" s="162">
        <f t="shared" si="3"/>
        <v>29748400096.742306</v>
      </c>
      <c r="F21" s="162">
        <f t="shared" si="3"/>
        <v>19003554714.598484</v>
      </c>
      <c r="G21" s="162">
        <f t="shared" si="3"/>
        <v>19573661356.036438</v>
      </c>
      <c r="H21" s="162">
        <f t="shared" si="3"/>
        <v>20160871196.717537</v>
      </c>
      <c r="I21" s="162">
        <f t="shared" si="3"/>
        <v>20765697332.619061</v>
      </c>
      <c r="J21" s="162">
        <f t="shared" si="3"/>
        <v>21388668252.597626</v>
      </c>
      <c r="K21" s="162">
        <f t="shared" si="3"/>
        <v>22030328300.17556</v>
      </c>
      <c r="L21" s="162">
        <f t="shared" si="3"/>
        <v>22691238149.180828</v>
      </c>
      <c r="M21" s="162">
        <f t="shared" si="3"/>
        <v>23371975293.656258</v>
      </c>
    </row>
    <row r="22" spans="1:13" ht="14.25" customHeight="1">
      <c r="A22" s="75" t="s">
        <v>414</v>
      </c>
      <c r="B22" s="64" t="s">
        <v>415</v>
      </c>
      <c r="C22" s="80">
        <v>0.03</v>
      </c>
      <c r="D22" s="80">
        <v>0.03</v>
      </c>
      <c r="E22" s="80">
        <v>0.03</v>
      </c>
      <c r="F22" s="80">
        <v>0.03</v>
      </c>
      <c r="G22" s="80">
        <v>0.03</v>
      </c>
      <c r="H22" s="80">
        <v>0.03</v>
      </c>
      <c r="I22" s="80">
        <v>0.03</v>
      </c>
      <c r="J22" s="80">
        <v>0.03</v>
      </c>
      <c r="K22" s="80">
        <v>0.03</v>
      </c>
      <c r="L22" s="80">
        <v>0.03</v>
      </c>
      <c r="M22" s="80">
        <v>0.03</v>
      </c>
    </row>
    <row r="23" spans="1:13" ht="14.25" customHeight="1">
      <c r="A23" s="75" t="s">
        <v>416</v>
      </c>
      <c r="B23" s="64" t="s">
        <v>417</v>
      </c>
      <c r="C23" s="167">
        <f>+'Balance Financiero Minhacienda'!C174</f>
        <v>4810000000</v>
      </c>
      <c r="D23" s="167">
        <f>+'Balance Financiero Minhacienda'!D174</f>
        <v>4070000000</v>
      </c>
      <c r="E23" s="167">
        <f>+'Balance Financiero Minhacienda'!E174</f>
        <v>3330000000</v>
      </c>
      <c r="F23" s="167">
        <f>+'Balance Financiero Minhacienda'!F174</f>
        <v>2590000000</v>
      </c>
      <c r="G23" s="167">
        <f>+'Balance Financiero Minhacienda'!G174</f>
        <v>1850000000</v>
      </c>
      <c r="H23" s="167">
        <f>+'Balance Financiero Minhacienda'!H174</f>
        <v>1110000000</v>
      </c>
      <c r="I23" s="167">
        <f>+'Balance Financiero Minhacienda'!I174</f>
        <v>370000000</v>
      </c>
      <c r="J23" s="167">
        <f>+'Balance Financiero Minhacienda'!J174</f>
        <v>0</v>
      </c>
      <c r="K23" s="167">
        <f>+'Balance Financiero Minhacienda'!K174</f>
        <v>0</v>
      </c>
      <c r="L23" s="167">
        <f>+'Balance Financiero Minhacienda'!L174</f>
        <v>0</v>
      </c>
      <c r="M23" s="167">
        <f>+'Balance Financiero Minhacienda'!M174</f>
        <v>0</v>
      </c>
    </row>
    <row r="24" spans="1:13" ht="14.25" customHeight="1">
      <c r="A24" s="75" t="s">
        <v>418</v>
      </c>
      <c r="B24" s="64" t="s">
        <v>419</v>
      </c>
      <c r="C24" s="162">
        <f t="shared" ref="C24:M24" si="4">SUM(C25:C25)</f>
        <v>556912270</v>
      </c>
      <c r="D24" s="162">
        <f t="shared" si="4"/>
        <v>477824137</v>
      </c>
      <c r="E24" s="162">
        <f t="shared" si="4"/>
        <v>398736004</v>
      </c>
      <c r="F24" s="162">
        <f t="shared" si="4"/>
        <v>319647871</v>
      </c>
      <c r="G24" s="162">
        <f t="shared" si="4"/>
        <v>240559738</v>
      </c>
      <c r="H24" s="162">
        <f t="shared" si="4"/>
        <v>161471605</v>
      </c>
      <c r="I24" s="162">
        <f t="shared" si="4"/>
        <v>82383472</v>
      </c>
      <c r="J24" s="162">
        <f t="shared" si="4"/>
        <v>11533686</v>
      </c>
      <c r="K24" s="162">
        <f t="shared" si="4"/>
        <v>0</v>
      </c>
      <c r="L24" s="162">
        <f t="shared" si="4"/>
        <v>0</v>
      </c>
      <c r="M24" s="162">
        <f t="shared" si="4"/>
        <v>0</v>
      </c>
    </row>
    <row r="25" spans="1:13" s="61" customFormat="1" ht="14.25" customHeight="1">
      <c r="A25" s="68">
        <v>6.1</v>
      </c>
      <c r="B25" s="72" t="s">
        <v>420</v>
      </c>
      <c r="C25" s="165">
        <f>+'Balance Financiero Minhacienda'!C85</f>
        <v>556912270</v>
      </c>
      <c r="D25" s="165">
        <f>+'Balance Financiero Minhacienda'!D85</f>
        <v>477824137</v>
      </c>
      <c r="E25" s="165">
        <f>+'Balance Financiero Minhacienda'!E85</f>
        <v>398736004</v>
      </c>
      <c r="F25" s="165">
        <f>+'Balance Financiero Minhacienda'!F85</f>
        <v>319647871</v>
      </c>
      <c r="G25" s="165">
        <f>+'Balance Financiero Minhacienda'!G85</f>
        <v>240559738</v>
      </c>
      <c r="H25" s="165">
        <f>+'Balance Financiero Minhacienda'!H85</f>
        <v>161471605</v>
      </c>
      <c r="I25" s="165">
        <f>+'Balance Financiero Minhacienda'!I85</f>
        <v>82383472</v>
      </c>
      <c r="J25" s="165">
        <f>+'Balance Financiero Minhacienda'!J85</f>
        <v>11533686</v>
      </c>
      <c r="K25" s="165">
        <f>+'Balance Financiero Minhacienda'!K85</f>
        <v>0</v>
      </c>
      <c r="L25" s="165">
        <f>+'Balance Financiero Minhacienda'!L85</f>
        <v>0</v>
      </c>
      <c r="M25" s="165">
        <f>+'Balance Financiero Minhacienda'!M85</f>
        <v>0</v>
      </c>
    </row>
    <row r="26" spans="1:13" ht="14.25" customHeight="1">
      <c r="A26" s="75" t="s">
        <v>421</v>
      </c>
      <c r="B26" s="64" t="s">
        <v>422</v>
      </c>
      <c r="C26" s="162">
        <f>+'Balance Financiero Minhacienda'!C156+'Balance Financiero Minhacienda'!C159</f>
        <v>740000000</v>
      </c>
      <c r="D26" s="162">
        <f>+'Balance Financiero Minhacienda'!D156+'Balance Financiero Minhacienda'!D159</f>
        <v>740000000</v>
      </c>
      <c r="E26" s="162">
        <f>+'Balance Financiero Minhacienda'!E156+'Balance Financiero Minhacienda'!E159</f>
        <v>740000000</v>
      </c>
      <c r="F26" s="162">
        <f>+'Balance Financiero Minhacienda'!F156+'Balance Financiero Minhacienda'!F159</f>
        <v>740000000</v>
      </c>
      <c r="G26" s="162">
        <f>+'Balance Financiero Minhacienda'!G156+'Balance Financiero Minhacienda'!G159</f>
        <v>740000000</v>
      </c>
      <c r="H26" s="162">
        <f>+'Balance Financiero Minhacienda'!H156+'Balance Financiero Minhacienda'!H159</f>
        <v>740000000</v>
      </c>
      <c r="I26" s="162">
        <f>+'Balance Financiero Minhacienda'!I156+'Balance Financiero Minhacienda'!I159</f>
        <v>740000000</v>
      </c>
      <c r="J26" s="162">
        <f>+'Balance Financiero Minhacienda'!J156+'Balance Financiero Minhacienda'!J159</f>
        <v>370000000</v>
      </c>
      <c r="K26" s="162">
        <f>+'Balance Financiero Minhacienda'!K156+'Balance Financiero Minhacienda'!K159</f>
        <v>0</v>
      </c>
      <c r="L26" s="162">
        <f>+'Balance Financiero Minhacienda'!L156+'Balance Financiero Minhacienda'!L159</f>
        <v>0</v>
      </c>
      <c r="M26" s="162">
        <f>+'Balance Financiero Minhacienda'!M156+'Balance Financiero Minhacienda'!M159</f>
        <v>0</v>
      </c>
    </row>
    <row r="27" spans="1:13" ht="14.25" customHeight="1">
      <c r="A27" s="75" t="s">
        <v>423</v>
      </c>
      <c r="B27" s="64" t="s">
        <v>424</v>
      </c>
      <c r="C27" s="162"/>
      <c r="D27" s="162"/>
      <c r="E27" s="162"/>
      <c r="F27" s="162"/>
      <c r="G27" s="162"/>
      <c r="H27" s="162"/>
      <c r="I27" s="162"/>
      <c r="J27" s="162"/>
      <c r="K27" s="162"/>
      <c r="L27" s="162"/>
      <c r="M27" s="162"/>
    </row>
    <row r="28" spans="1:13" s="61" customFormat="1" ht="14.25" hidden="1" customHeight="1">
      <c r="A28" s="68" t="s">
        <v>425</v>
      </c>
      <c r="B28" s="73" t="s">
        <v>426</v>
      </c>
      <c r="C28" s="164"/>
      <c r="D28" s="164"/>
      <c r="E28" s="164">
        <v>0</v>
      </c>
      <c r="F28" s="164"/>
      <c r="G28" s="164"/>
      <c r="H28" s="164"/>
      <c r="I28" s="164"/>
      <c r="J28" s="164"/>
      <c r="K28" s="164"/>
      <c r="L28" s="164"/>
      <c r="M28" s="164"/>
    </row>
    <row r="29" spans="1:13" s="61" customFormat="1" ht="14.25" hidden="1" customHeight="1">
      <c r="A29" s="68" t="s">
        <v>427</v>
      </c>
      <c r="B29" s="72" t="s">
        <v>428</v>
      </c>
      <c r="C29" s="164"/>
      <c r="D29" s="164"/>
      <c r="E29" s="164"/>
      <c r="F29" s="164"/>
      <c r="G29" s="164"/>
      <c r="H29" s="164"/>
      <c r="I29" s="164"/>
      <c r="J29" s="164"/>
      <c r="K29" s="164"/>
      <c r="L29" s="164"/>
      <c r="M29" s="164"/>
    </row>
    <row r="30" spans="1:13" s="61" customFormat="1" ht="14.25" hidden="1" customHeight="1">
      <c r="A30" s="68" t="s">
        <v>429</v>
      </c>
      <c r="B30" s="72" t="s">
        <v>430</v>
      </c>
      <c r="C30" s="164"/>
      <c r="D30" s="164"/>
      <c r="E30" s="164"/>
      <c r="F30" s="164"/>
      <c r="G30" s="164"/>
      <c r="H30" s="164"/>
      <c r="I30" s="164"/>
      <c r="J30" s="164"/>
      <c r="K30" s="164"/>
      <c r="L30" s="164"/>
      <c r="M30" s="164"/>
    </row>
    <row r="31" spans="1:13" s="61" customFormat="1" ht="14.25" hidden="1" customHeight="1">
      <c r="A31" s="74" t="s">
        <v>431</v>
      </c>
      <c r="B31" s="72" t="s">
        <v>432</v>
      </c>
      <c r="C31" s="166"/>
      <c r="D31" s="166">
        <f>SUM(D28-D29)</f>
        <v>0</v>
      </c>
      <c r="E31" s="166">
        <f t="shared" ref="E31:I31" si="5">SUM(E28-E29)</f>
        <v>0</v>
      </c>
      <c r="F31" s="166">
        <f t="shared" si="5"/>
        <v>0</v>
      </c>
      <c r="G31" s="166">
        <f t="shared" si="5"/>
        <v>0</v>
      </c>
      <c r="H31" s="166">
        <f t="shared" si="5"/>
        <v>0</v>
      </c>
      <c r="I31" s="166">
        <f t="shared" si="5"/>
        <v>0</v>
      </c>
      <c r="J31" s="166"/>
      <c r="K31" s="166"/>
      <c r="L31" s="166"/>
      <c r="M31" s="166"/>
    </row>
    <row r="32" spans="1:13" ht="14.25" customHeight="1">
      <c r="A32" s="75" t="s">
        <v>433</v>
      </c>
      <c r="B32" s="64" t="s">
        <v>434</v>
      </c>
      <c r="C32" s="64"/>
      <c r="D32" s="64"/>
      <c r="E32" s="64"/>
      <c r="F32" s="64"/>
      <c r="G32" s="64"/>
      <c r="H32" s="64"/>
      <c r="I32" s="64"/>
      <c r="J32" s="64"/>
      <c r="K32" s="64"/>
      <c r="L32" s="64"/>
      <c r="M32" s="64"/>
    </row>
    <row r="33" spans="1:13" ht="14.25" customHeight="1">
      <c r="A33" s="76" t="s">
        <v>435</v>
      </c>
      <c r="B33" s="78" t="s">
        <v>436</v>
      </c>
      <c r="C33" s="169">
        <f t="shared" ref="C33:M33" si="6">+C24+C30</f>
        <v>556912270</v>
      </c>
      <c r="D33" s="169">
        <f t="shared" si="6"/>
        <v>477824137</v>
      </c>
      <c r="E33" s="169">
        <f t="shared" si="6"/>
        <v>398736004</v>
      </c>
      <c r="F33" s="169">
        <f t="shared" si="6"/>
        <v>319647871</v>
      </c>
      <c r="G33" s="169">
        <f t="shared" si="6"/>
        <v>240559738</v>
      </c>
      <c r="H33" s="169">
        <f t="shared" si="6"/>
        <v>161471605</v>
      </c>
      <c r="I33" s="169">
        <f t="shared" si="6"/>
        <v>82383472</v>
      </c>
      <c r="J33" s="169">
        <f t="shared" si="6"/>
        <v>11533686</v>
      </c>
      <c r="K33" s="169">
        <f t="shared" si="6"/>
        <v>0</v>
      </c>
      <c r="L33" s="169">
        <f t="shared" si="6"/>
        <v>0</v>
      </c>
      <c r="M33" s="169">
        <f t="shared" si="6"/>
        <v>0</v>
      </c>
    </row>
    <row r="34" spans="1:13" ht="14.25" customHeight="1">
      <c r="A34" s="76" t="s">
        <v>437</v>
      </c>
      <c r="B34" s="78" t="s">
        <v>438</v>
      </c>
      <c r="C34" s="169">
        <f>+C31+C23</f>
        <v>4810000000</v>
      </c>
      <c r="D34" s="169">
        <f>SUM(D23+D28-D29-D26)</f>
        <v>3330000000</v>
      </c>
      <c r="E34" s="169">
        <f>SUM(E23+E28-E29-E26)</f>
        <v>2590000000</v>
      </c>
      <c r="F34" s="169">
        <f t="shared" ref="F34:M34" si="7">+F31+F23</f>
        <v>2590000000</v>
      </c>
      <c r="G34" s="169">
        <f t="shared" si="7"/>
        <v>1850000000</v>
      </c>
      <c r="H34" s="169">
        <f t="shared" si="7"/>
        <v>1110000000</v>
      </c>
      <c r="I34" s="169">
        <f t="shared" si="7"/>
        <v>370000000</v>
      </c>
      <c r="J34" s="169">
        <f t="shared" si="7"/>
        <v>0</v>
      </c>
      <c r="K34" s="169">
        <f t="shared" si="7"/>
        <v>0</v>
      </c>
      <c r="L34" s="169">
        <f t="shared" si="7"/>
        <v>0</v>
      </c>
      <c r="M34" s="169">
        <f t="shared" si="7"/>
        <v>0</v>
      </c>
    </row>
    <row r="35" spans="1:13" ht="14.25" customHeight="1">
      <c r="A35" s="76" t="s">
        <v>439</v>
      </c>
      <c r="B35" s="79" t="s">
        <v>456</v>
      </c>
      <c r="C35" s="168">
        <f t="shared" ref="C35:M35" si="8">C33/C21*100</f>
        <v>3.3398048924303501</v>
      </c>
      <c r="D35" s="168">
        <f t="shared" si="8"/>
        <v>1.6543969793816913</v>
      </c>
      <c r="E35" s="168">
        <f t="shared" si="8"/>
        <v>1.3403611713682204</v>
      </c>
      <c r="F35" s="168">
        <f t="shared" si="8"/>
        <v>1.6820425220469268</v>
      </c>
      <c r="G35" s="168">
        <f t="shared" si="8"/>
        <v>1.2289971386769309</v>
      </c>
      <c r="H35" s="168">
        <f t="shared" si="8"/>
        <v>0.80091581075271079</v>
      </c>
      <c r="I35" s="168">
        <f t="shared" si="8"/>
        <v>0.3967286563046975</v>
      </c>
      <c r="J35" s="168">
        <f t="shared" si="8"/>
        <v>5.3924283007191202E-2</v>
      </c>
      <c r="K35" s="168">
        <f t="shared" si="8"/>
        <v>0</v>
      </c>
      <c r="L35" s="168">
        <f t="shared" si="8"/>
        <v>0</v>
      </c>
      <c r="M35" s="168">
        <f t="shared" si="8"/>
        <v>0</v>
      </c>
    </row>
    <row r="36" spans="1:13" ht="14.25" customHeight="1">
      <c r="A36" s="76" t="s">
        <v>440</v>
      </c>
      <c r="B36" s="79" t="s">
        <v>455</v>
      </c>
      <c r="C36" s="168">
        <f t="shared" ref="C36:M36" si="9">C34/C3*100</f>
        <v>17.27994930121217</v>
      </c>
      <c r="D36" s="168">
        <f t="shared" si="9"/>
        <v>11.525575261807495</v>
      </c>
      <c r="E36" s="168">
        <f t="shared" si="9"/>
        <v>8.7032391405234577</v>
      </c>
      <c r="F36" s="168">
        <f t="shared" si="9"/>
        <v>8.4497467383722906</v>
      </c>
      <c r="G36" s="168">
        <f t="shared" si="9"/>
        <v>5.859741150050132</v>
      </c>
      <c r="H36" s="168">
        <f t="shared" si="9"/>
        <v>3.4134414466311442</v>
      </c>
      <c r="I36" s="168">
        <f t="shared" si="9"/>
        <v>1.1046736073239951</v>
      </c>
      <c r="J36" s="168">
        <f t="shared" si="9"/>
        <v>0</v>
      </c>
      <c r="K36" s="168">
        <f t="shared" si="9"/>
        <v>0</v>
      </c>
      <c r="L36" s="168">
        <f t="shared" si="9"/>
        <v>0</v>
      </c>
      <c r="M36" s="168">
        <f t="shared" si="9"/>
        <v>0</v>
      </c>
    </row>
    <row r="37" spans="1:13" ht="14.25" customHeight="1">
      <c r="A37" s="76" t="s">
        <v>441</v>
      </c>
      <c r="B37" s="78" t="s">
        <v>442</v>
      </c>
      <c r="C37" s="76" t="str">
        <f>IF(AND(C35&gt;=0,C35&lt;=40),"VERDE","ROJO")</f>
        <v>VERDE</v>
      </c>
      <c r="D37" s="76" t="str">
        <f>IF(AND(D35&gt;=0,D35&lt;=40),"VERDE","ROJO")</f>
        <v>VERDE</v>
      </c>
      <c r="E37" s="76" t="str">
        <f t="shared" ref="E37:M37" si="10">IF(AND(E35&gt;=0,E35&lt;=40),"VERDE","ROJO")</f>
        <v>VERDE</v>
      </c>
      <c r="F37" s="76" t="str">
        <f t="shared" si="10"/>
        <v>VERDE</v>
      </c>
      <c r="G37" s="76" t="str">
        <f t="shared" si="10"/>
        <v>VERDE</v>
      </c>
      <c r="H37" s="76" t="str">
        <f t="shared" si="10"/>
        <v>VERDE</v>
      </c>
      <c r="I37" s="76" t="str">
        <f t="shared" si="10"/>
        <v>VERDE</v>
      </c>
      <c r="J37" s="76" t="str">
        <f t="shared" si="10"/>
        <v>VERDE</v>
      </c>
      <c r="K37" s="76" t="str">
        <f t="shared" si="10"/>
        <v>VERDE</v>
      </c>
      <c r="L37" s="76" t="str">
        <f t="shared" si="10"/>
        <v>VERDE</v>
      </c>
      <c r="M37" s="76" t="str">
        <f t="shared" si="10"/>
        <v>VERDE</v>
      </c>
    </row>
    <row r="38" spans="1:13" ht="14.25" customHeight="1">
      <c r="A38" s="76" t="s">
        <v>443</v>
      </c>
      <c r="B38" s="78" t="s">
        <v>444</v>
      </c>
      <c r="C38" s="76" t="str">
        <f>IF(C36&lt;=80,"VERDE","ROJO")</f>
        <v>VERDE</v>
      </c>
      <c r="D38" s="76" t="str">
        <f t="shared" ref="D38:M38" si="11">IF(D36&lt;=80,"VERDE","ROJO")</f>
        <v>VERDE</v>
      </c>
      <c r="E38" s="76" t="str">
        <f t="shared" si="11"/>
        <v>VERDE</v>
      </c>
      <c r="F38" s="76" t="str">
        <f t="shared" si="11"/>
        <v>VERDE</v>
      </c>
      <c r="G38" s="76" t="str">
        <f t="shared" si="11"/>
        <v>VERDE</v>
      </c>
      <c r="H38" s="76" t="str">
        <f t="shared" si="11"/>
        <v>VERDE</v>
      </c>
      <c r="I38" s="76" t="str">
        <f t="shared" si="11"/>
        <v>VERDE</v>
      </c>
      <c r="J38" s="76" t="str">
        <f t="shared" si="11"/>
        <v>VERDE</v>
      </c>
      <c r="K38" s="76" t="str">
        <f t="shared" si="11"/>
        <v>VERDE</v>
      </c>
      <c r="L38" s="76" t="str">
        <f t="shared" si="11"/>
        <v>VERDE</v>
      </c>
      <c r="M38" s="76" t="str">
        <f t="shared" si="11"/>
        <v>VERDE</v>
      </c>
    </row>
    <row r="39" spans="1:13" ht="14.25" customHeight="1">
      <c r="A39" s="76" t="s">
        <v>445</v>
      </c>
      <c r="B39" s="78" t="s">
        <v>446</v>
      </c>
      <c r="C39" s="76" t="str">
        <f>IF(AND(C37="VERDE",C38="VERDE",+Superávit!B10="SOSTENIBLE"),"VERDE","ROJO")</f>
        <v>VERDE</v>
      </c>
      <c r="D39" s="76" t="str">
        <f>IF(AND(D37="VERDE",D38="VERDE",+Superávit!C10="SOSTENIBLE"),"VERDE","ROJO")</f>
        <v>VERDE</v>
      </c>
      <c r="E39" s="76" t="str">
        <f>IF(AND(E37="VERDE",E38="VERDE",+Superávit!D10="SOSTENIBLE"),"VERDE","ROJO")</f>
        <v>VERDE</v>
      </c>
      <c r="F39" s="76" t="str">
        <f>IF(AND(F37="VERDE",F38="VERDE",+Superávit!E10="SOSTENIBLE"),"VERDE","ROJO")</f>
        <v>VERDE</v>
      </c>
      <c r="G39" s="76" t="str">
        <f>IF(AND(G37="VERDE",G38="VERDE",+Superávit!F10="SOSTENIBLE"),"VERDE","ROJO")</f>
        <v>VERDE</v>
      </c>
      <c r="H39" s="76" t="str">
        <f>IF(AND(H37="VERDE",H38="VERDE",+Superávit!G10="SOSTENIBLE"),"VERDE","ROJO")</f>
        <v>VERDE</v>
      </c>
      <c r="I39" s="76" t="str">
        <f>IF(AND(I37="VERDE",I38="VERDE",+Superávit!H10="SOSTENIBLE"),"VERDE","ROJO")</f>
        <v>VERDE</v>
      </c>
      <c r="J39" s="76" t="str">
        <f>IF(AND(J37="VERDE",J38="VERDE",+Superávit!I10="SOSTENIBLE"),"VERDE","ROJO")</f>
        <v>VERDE</v>
      </c>
      <c r="K39" s="76" t="str">
        <f>IF(AND(K37="VERDE",K38="VERDE",+Superávit!J10="SOSTENIBLE"),"VERDE","ROJO")</f>
        <v>VERDE</v>
      </c>
      <c r="L39" s="76" t="str">
        <f>IF(AND(L37="VERDE",L38="VERDE",+Superávit!K10="SOSTENIBLE"),"VERDE","ROJO")</f>
        <v>VERDE</v>
      </c>
      <c r="M39" s="76" t="str">
        <f>IF(AND(M37="VERDE",M38="VERDE",+Superávit!L10="SOSTENIBLE"),"VERDE","ROJO")</f>
        <v>VERDE</v>
      </c>
    </row>
  </sheetData>
  <protectedRanges>
    <protectedRange sqref="D1 A1:B1" name="Rango1_1"/>
    <protectedRange sqref="D28:M30" name="Rango5_1_1"/>
    <protectedRange sqref="C22:M22" name="Rango2_1_1"/>
  </protectedRange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120" zoomScaleNormal="120" workbookViewId="0">
      <selection activeCell="B10" sqref="B10"/>
    </sheetView>
  </sheetViews>
  <sheetFormatPr baseColWidth="10" defaultRowHeight="16.5"/>
  <cols>
    <col min="1" max="1" width="29.7109375" style="59" customWidth="1"/>
    <col min="2" max="12" width="10.140625" style="59" customWidth="1"/>
    <col min="13" max="16384" width="11.42578125" style="59"/>
  </cols>
  <sheetData>
    <row r="1" spans="1:12">
      <c r="A1" s="177" t="s">
        <v>447</v>
      </c>
    </row>
    <row r="2" spans="1:12" ht="18.75" customHeight="1">
      <c r="A2" s="221" t="s">
        <v>460</v>
      </c>
      <c r="B2" s="221"/>
      <c r="C2" s="92"/>
      <c r="D2" s="60"/>
      <c r="E2" s="60"/>
      <c r="F2" s="60"/>
      <c r="G2" s="60"/>
      <c r="H2" s="60"/>
      <c r="I2" s="60"/>
      <c r="J2" s="60"/>
      <c r="K2" s="60"/>
      <c r="L2" s="60"/>
    </row>
    <row r="3" spans="1:12">
      <c r="A3" s="69" t="s">
        <v>447</v>
      </c>
      <c r="B3" s="69">
        <f>+'Plan Financiero DNP'!C3</f>
        <v>2018</v>
      </c>
      <c r="C3" s="69">
        <f>+'Plan Financiero DNP'!D3</f>
        <v>2019</v>
      </c>
      <c r="D3" s="69">
        <f>+'Plan Financiero DNP'!E3</f>
        <v>2020</v>
      </c>
      <c r="E3" s="69">
        <f>+'Plan Financiero DNP'!F3</f>
        <v>2021</v>
      </c>
      <c r="F3" s="69">
        <f>+'Plan Financiero DNP'!G3</f>
        <v>2022</v>
      </c>
      <c r="G3" s="69">
        <f>+'Plan Financiero DNP'!H3</f>
        <v>2023</v>
      </c>
      <c r="H3" s="69">
        <f>+'Plan Financiero DNP'!I3</f>
        <v>2024</v>
      </c>
      <c r="I3" s="69">
        <f>+'Plan Financiero DNP'!J3</f>
        <v>2025</v>
      </c>
      <c r="J3" s="69">
        <f>+'Plan Financiero DNP'!K3</f>
        <v>2026</v>
      </c>
      <c r="K3" s="69">
        <f>+'Plan Financiero DNP'!L3</f>
        <v>2027</v>
      </c>
      <c r="L3" s="69">
        <f>+'Plan Financiero DNP'!M3</f>
        <v>2028</v>
      </c>
    </row>
    <row r="4" spans="1:12">
      <c r="A4" s="93" t="s">
        <v>314</v>
      </c>
      <c r="B4" s="196">
        <f>+'Balance Financiero Minhacienda'!C5</f>
        <v>155960057508</v>
      </c>
      <c r="C4" s="196">
        <f>+'Balance Financiero Minhacienda'!D5</f>
        <v>160860324713.23999</v>
      </c>
      <c r="D4" s="196">
        <f>+'Balance Financiero Minhacienda'!E5</f>
        <v>165686134454.63724</v>
      </c>
      <c r="E4" s="196">
        <f>+'Balance Financiero Minhacienda'!F5</f>
        <v>170656718488.27634</v>
      </c>
      <c r="F4" s="196">
        <f>+'Balance Financiero Minhacienda'!G5</f>
        <v>175776420042.92462</v>
      </c>
      <c r="G4" s="196">
        <f>+'Balance Financiero Minhacienda'!H5</f>
        <v>181049712644.21234</v>
      </c>
      <c r="H4" s="196">
        <f>+'Balance Financiero Minhacienda'!I5</f>
        <v>186481204023.53876</v>
      </c>
      <c r="I4" s="196">
        <f>+'Balance Financiero Minhacienda'!J5</f>
        <v>192075640144.2449</v>
      </c>
      <c r="J4" s="196">
        <f>+'Balance Financiero Minhacienda'!K5</f>
        <v>197837909348.57227</v>
      </c>
      <c r="K4" s="196">
        <f>+'Balance Financiero Minhacienda'!L5</f>
        <v>203773046629.02942</v>
      </c>
      <c r="L4" s="196">
        <f>+'Balance Financiero Minhacienda'!M5</f>
        <v>209886238027.90033</v>
      </c>
    </row>
    <row r="5" spans="1:12">
      <c r="A5" s="93" t="s">
        <v>448</v>
      </c>
      <c r="B5" s="196">
        <f>+'Balance Financiero Minhacienda'!C89</f>
        <v>0</v>
      </c>
      <c r="C5" s="196">
        <f>+'Balance Financiero Minhacienda'!D89</f>
        <v>0</v>
      </c>
      <c r="D5" s="196">
        <f>+'Balance Financiero Minhacienda'!E89</f>
        <v>0</v>
      </c>
      <c r="E5" s="196">
        <f>+'Balance Financiero Minhacienda'!F89</f>
        <v>0</v>
      </c>
      <c r="F5" s="196">
        <f>+'Balance Financiero Minhacienda'!G89</f>
        <v>0</v>
      </c>
      <c r="G5" s="196">
        <f>+'Balance Financiero Minhacienda'!H89</f>
        <v>0</v>
      </c>
      <c r="H5" s="196">
        <f>+'Balance Financiero Minhacienda'!I89</f>
        <v>0</v>
      </c>
      <c r="I5" s="196">
        <f>+'Balance Financiero Minhacienda'!J89</f>
        <v>0</v>
      </c>
      <c r="J5" s="196">
        <f>+'Balance Financiero Minhacienda'!K89</f>
        <v>0</v>
      </c>
      <c r="K5" s="196">
        <f>+'Balance Financiero Minhacienda'!L89</f>
        <v>0</v>
      </c>
      <c r="L5" s="196">
        <f>+'Balance Financiero Minhacienda'!M89</f>
        <v>0</v>
      </c>
    </row>
    <row r="6" spans="1:12">
      <c r="A6" s="93" t="s">
        <v>397</v>
      </c>
      <c r="B6" s="196">
        <f>+'Balance Financiero Minhacienda'!C50+'Balance Financiero Minhacienda'!C65+'Balance Financiero Minhacienda'!C68</f>
        <v>10659800251</v>
      </c>
      <c r="C6" s="196">
        <f>+'Balance Financiero Minhacienda'!D50+'Balance Financiero Minhacienda'!D65+'Balance Financiero Minhacienda'!D68</f>
        <v>10979594258.529999</v>
      </c>
      <c r="D6" s="196">
        <f>+'Balance Financiero Minhacienda'!E50+'Balance Financiero Minhacienda'!E65+'Balance Financiero Minhacienda'!E68</f>
        <v>11308982086.2859</v>
      </c>
      <c r="E6" s="196">
        <f>+'Balance Financiero Minhacienda'!F50+'Balance Financiero Minhacienda'!F65+'Balance Financiero Minhacienda'!F68</f>
        <v>11648251548.874477</v>
      </c>
      <c r="F6" s="196">
        <f>+'Balance Financiero Minhacienda'!G50+'Balance Financiero Minhacienda'!G65+'Balance Financiero Minhacienda'!G68</f>
        <v>11997699095.340712</v>
      </c>
      <c r="G6" s="196">
        <f>+'Balance Financiero Minhacienda'!H50+'Balance Financiero Minhacienda'!H65+'Balance Financiero Minhacienda'!H68</f>
        <v>12357630068.200932</v>
      </c>
      <c r="H6" s="196">
        <f>+'Balance Financiero Minhacienda'!I50+'Balance Financiero Minhacienda'!I65+'Balance Financiero Minhacienda'!I68</f>
        <v>12728358970.24696</v>
      </c>
      <c r="I6" s="196">
        <f>+'Balance Financiero Minhacienda'!J50+'Balance Financiero Minhacienda'!J65+'Balance Financiero Minhacienda'!J68</f>
        <v>13110209739.35437</v>
      </c>
      <c r="J6" s="196">
        <f>+'Balance Financiero Minhacienda'!K50+'Balance Financiero Minhacienda'!K65+'Balance Financiero Minhacienda'!K68</f>
        <v>13503516031.535004</v>
      </c>
      <c r="K6" s="196">
        <f>+'Balance Financiero Minhacienda'!L50+'Balance Financiero Minhacienda'!L65+'Balance Financiero Minhacienda'!L68</f>
        <v>13908621512.481052</v>
      </c>
      <c r="L6" s="196">
        <f>+'Balance Financiero Minhacienda'!M50+'Balance Financiero Minhacienda'!M65+'Balance Financiero Minhacienda'!M68</f>
        <v>14325880157.855484</v>
      </c>
    </row>
    <row r="7" spans="1:12">
      <c r="A7" s="93" t="s">
        <v>449</v>
      </c>
      <c r="B7" s="196">
        <f>+'Balance Financiero Minhacienda'!C69+'Balance Financiero Minhacienda'!C101</f>
        <v>144003344987</v>
      </c>
      <c r="C7" s="196">
        <f>+'Balance Financiero Minhacienda'!D69+'Balance Financiero Minhacienda'!D101</f>
        <v>148662906317.70999</v>
      </c>
      <c r="D7" s="196">
        <f>+'Balance Financiero Minhacienda'!E69+'Balance Financiero Minhacienda'!E101</f>
        <v>153238416364.35135</v>
      </c>
      <c r="E7" s="196">
        <f>+'Balance Financiero Minhacienda'!F69+'Balance Financiero Minhacienda'!F101</f>
        <v>157948819068.40186</v>
      </c>
      <c r="F7" s="196">
        <f>+'Balance Financiero Minhacienda'!G69+'Balance Financiero Minhacienda'!G101</f>
        <v>162798161209.58392</v>
      </c>
      <c r="G7" s="196">
        <f>+'Balance Financiero Minhacienda'!H69+'Balance Financiero Minhacienda'!H101</f>
        <v>167790610971.01141</v>
      </c>
      <c r="H7" s="196">
        <f>+'Balance Financiero Minhacienda'!I69+'Balance Financiero Minhacienda'!I101</f>
        <v>172930461581.29181</v>
      </c>
      <c r="I7" s="196">
        <f>+'Balance Financiero Minhacienda'!J69+'Balance Financiero Minhacienda'!J101</f>
        <v>178583896718.89053</v>
      </c>
      <c r="J7" s="196">
        <f>+'Balance Financiero Minhacienda'!K69+'Balance Financiero Minhacienda'!K101</f>
        <v>184334393317.03726</v>
      </c>
      <c r="K7" s="196">
        <f>+'Balance Financiero Minhacienda'!L69+'Balance Financiero Minhacienda'!L101</f>
        <v>189864425116.5484</v>
      </c>
      <c r="L7" s="196">
        <f>+'Balance Financiero Minhacienda'!M69+'Balance Financiero Minhacienda'!M101</f>
        <v>195560357870.04486</v>
      </c>
    </row>
    <row r="8" spans="1:12">
      <c r="A8" s="93" t="s">
        <v>447</v>
      </c>
      <c r="B8" s="196">
        <f>+B4+B5-B6-B7</f>
        <v>1296912270</v>
      </c>
      <c r="C8" s="196">
        <f t="shared" ref="C8:L8" si="0">+C4+C5-C6-C7</f>
        <v>1217824137</v>
      </c>
      <c r="D8" s="196">
        <f t="shared" si="0"/>
        <v>1138736004</v>
      </c>
      <c r="E8" s="196">
        <f t="shared" si="0"/>
        <v>1059647871</v>
      </c>
      <c r="F8" s="196">
        <f t="shared" si="0"/>
        <v>980559738</v>
      </c>
      <c r="G8" s="196">
        <f t="shared" si="0"/>
        <v>901471605</v>
      </c>
      <c r="H8" s="196">
        <f t="shared" si="0"/>
        <v>822383472</v>
      </c>
      <c r="I8" s="196">
        <f t="shared" si="0"/>
        <v>381533686</v>
      </c>
      <c r="J8" s="196">
        <f t="shared" si="0"/>
        <v>0</v>
      </c>
      <c r="K8" s="196">
        <f t="shared" si="0"/>
        <v>0</v>
      </c>
      <c r="L8" s="196">
        <f t="shared" si="0"/>
        <v>0</v>
      </c>
    </row>
    <row r="9" spans="1:12" ht="28.5" customHeight="1">
      <c r="A9" s="96" t="s">
        <v>450</v>
      </c>
      <c r="B9" s="197">
        <f t="shared" ref="B9:L9" si="1">IF(B13&lt;&gt;0,B8/(B13)*100,IF(AND(B13=0,B8&lt;0),0,100))</f>
        <v>232.87550658562432</v>
      </c>
      <c r="C9" s="197">
        <f t="shared" si="1"/>
        <v>254.86869387680179</v>
      </c>
      <c r="D9" s="197">
        <f t="shared" si="1"/>
        <v>285.58645133033934</v>
      </c>
      <c r="E9" s="197">
        <f t="shared" si="1"/>
        <v>331.5047485487554</v>
      </c>
      <c r="F9" s="197">
        <f t="shared" si="1"/>
        <v>407.61589871701636</v>
      </c>
      <c r="G9" s="197">
        <f t="shared" si="1"/>
        <v>558.28491021687682</v>
      </c>
      <c r="H9" s="197">
        <f t="shared" si="1"/>
        <v>998.23842335753955</v>
      </c>
      <c r="I9" s="197">
        <f t="shared" si="1"/>
        <v>3307.9943913853731</v>
      </c>
      <c r="J9" s="197">
        <f t="shared" si="1"/>
        <v>100</v>
      </c>
      <c r="K9" s="197">
        <f t="shared" si="1"/>
        <v>100</v>
      </c>
      <c r="L9" s="197">
        <f t="shared" si="1"/>
        <v>100</v>
      </c>
    </row>
    <row r="10" spans="1:12">
      <c r="A10" s="78"/>
      <c r="B10" s="198" t="str">
        <f t="shared" ref="B10:L10" si="2">IF(B9&lt;100,"INSOSTENIBLE","SOSTENIBLE")</f>
        <v>SOSTENIBLE</v>
      </c>
      <c r="C10" s="198" t="str">
        <f t="shared" si="2"/>
        <v>SOSTENIBLE</v>
      </c>
      <c r="D10" s="198" t="str">
        <f t="shared" si="2"/>
        <v>SOSTENIBLE</v>
      </c>
      <c r="E10" s="198" t="str">
        <f t="shared" si="2"/>
        <v>SOSTENIBLE</v>
      </c>
      <c r="F10" s="198" t="str">
        <f t="shared" si="2"/>
        <v>SOSTENIBLE</v>
      </c>
      <c r="G10" s="198" t="str">
        <f t="shared" si="2"/>
        <v>SOSTENIBLE</v>
      </c>
      <c r="H10" s="198" t="str">
        <f t="shared" si="2"/>
        <v>SOSTENIBLE</v>
      </c>
      <c r="I10" s="198" t="str">
        <f t="shared" si="2"/>
        <v>SOSTENIBLE</v>
      </c>
      <c r="J10" s="198" t="str">
        <f t="shared" si="2"/>
        <v>SOSTENIBLE</v>
      </c>
      <c r="K10" s="198" t="str">
        <f t="shared" si="2"/>
        <v>SOSTENIBLE</v>
      </c>
      <c r="L10" s="198" t="str">
        <f t="shared" si="2"/>
        <v>SOSTENIBLE</v>
      </c>
    </row>
    <row r="11" spans="1:12">
      <c r="A11" s="94" t="s">
        <v>272</v>
      </c>
      <c r="B11" s="199"/>
      <c r="C11" s="199"/>
      <c r="D11" s="199"/>
      <c r="E11" s="199"/>
      <c r="F11" s="199"/>
      <c r="G11" s="199"/>
      <c r="H11" s="199"/>
      <c r="I11" s="200"/>
      <c r="J11" s="199"/>
      <c r="K11" s="199"/>
      <c r="L11" s="199"/>
    </row>
    <row r="12" spans="1:12">
      <c r="A12" s="78" t="s">
        <v>451</v>
      </c>
      <c r="B12" s="201">
        <f>+B3</f>
        <v>2018</v>
      </c>
      <c r="C12" s="201">
        <f t="shared" ref="C12:L12" si="3">+C3</f>
        <v>2019</v>
      </c>
      <c r="D12" s="201">
        <f t="shared" si="3"/>
        <v>2020</v>
      </c>
      <c r="E12" s="201">
        <f t="shared" si="3"/>
        <v>2021</v>
      </c>
      <c r="F12" s="201">
        <f t="shared" si="3"/>
        <v>2022</v>
      </c>
      <c r="G12" s="201">
        <f t="shared" si="3"/>
        <v>2023</v>
      </c>
      <c r="H12" s="201">
        <f t="shared" si="3"/>
        <v>2024</v>
      </c>
      <c r="I12" s="201">
        <f t="shared" si="3"/>
        <v>2025</v>
      </c>
      <c r="J12" s="201">
        <f t="shared" si="3"/>
        <v>2026</v>
      </c>
      <c r="K12" s="201">
        <f t="shared" si="3"/>
        <v>2027</v>
      </c>
      <c r="L12" s="201">
        <f t="shared" si="3"/>
        <v>2028</v>
      </c>
    </row>
    <row r="13" spans="1:12">
      <c r="A13" s="95" t="s">
        <v>452</v>
      </c>
      <c r="B13" s="202">
        <f>+Deuda!C33</f>
        <v>556912270</v>
      </c>
      <c r="C13" s="202">
        <f>+Deuda!D33</f>
        <v>477824137</v>
      </c>
      <c r="D13" s="202">
        <f>+Deuda!E33</f>
        <v>398736004</v>
      </c>
      <c r="E13" s="202">
        <f>+Deuda!F33</f>
        <v>319647871</v>
      </c>
      <c r="F13" s="202">
        <f>+Deuda!G33</f>
        <v>240559738</v>
      </c>
      <c r="G13" s="202">
        <f>+Deuda!H33</f>
        <v>161471605</v>
      </c>
      <c r="H13" s="202">
        <f>+Deuda!I33</f>
        <v>82383472</v>
      </c>
      <c r="I13" s="202">
        <f>+Deuda!J33</f>
        <v>11533686</v>
      </c>
      <c r="J13" s="202">
        <f>+Deuda!K33</f>
        <v>0</v>
      </c>
      <c r="K13" s="202">
        <f>+Deuda!L33</f>
        <v>0</v>
      </c>
      <c r="L13" s="202">
        <f>+Deuda!M33</f>
        <v>0</v>
      </c>
    </row>
  </sheetData>
  <sheetProtection password="CF66" sheet="1" objects="1" scenarios="1"/>
  <mergeCells count="1">
    <mergeCell ref="A2:B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B0564B2D3CCFA46A43E7ACA84BCEA71" ma:contentTypeVersion="0" ma:contentTypeDescription="Crear nuevo documento." ma:contentTypeScope="" ma:versionID="adcf52fa03d793248f001efbe242c067">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A644CA-404D-424A-9BD5-E509AD57FC9C}"/>
</file>

<file path=customXml/itemProps2.xml><?xml version="1.0" encoding="utf-8"?>
<ds:datastoreItem xmlns:ds="http://schemas.openxmlformats.org/officeDocument/2006/customXml" ds:itemID="{569ACE04-2832-4462-8F44-9412ED10A9DB}"/>
</file>

<file path=customXml/itemProps3.xml><?xml version="1.0" encoding="utf-8"?>
<ds:datastoreItem xmlns:ds="http://schemas.openxmlformats.org/officeDocument/2006/customXml" ds:itemID="{7DA02AAA-8B68-4B79-B344-094B3BE10B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vt:i4>
      </vt:variant>
    </vt:vector>
  </HeadingPairs>
  <TitlesOfParts>
    <vt:vector size="14" baseType="lpstr">
      <vt:lpstr>Datos</vt:lpstr>
      <vt:lpstr>Antecedente</vt:lpstr>
      <vt:lpstr>Datos </vt:lpstr>
      <vt:lpstr>Histórico Deptos</vt:lpstr>
      <vt:lpstr>Histórico Mpios</vt:lpstr>
      <vt:lpstr>Balance Financiero Minhacienda</vt:lpstr>
      <vt:lpstr>Plan Financiero DNP</vt:lpstr>
      <vt:lpstr>Deuda</vt:lpstr>
      <vt:lpstr>Superávit</vt:lpstr>
      <vt:lpstr>Gráf-Mpios</vt:lpstr>
      <vt:lpstr>Gráf-Deptos</vt:lpstr>
      <vt:lpstr>Balance Financiero Minhacie (2)</vt:lpstr>
      <vt:lpstr>'Balance Financiero Minhacie (2)'!Área_de_impresión</vt:lpstr>
      <vt:lpstr>'Balance Financiero Minhacienda'!Área_de_impresión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PLNA DE GASTO PÚBLICO 2018</dc:title>
  <dc:creator>HERNANDO ELIAS</dc:creator>
  <cp:lastModifiedBy>Planeacion-Nataly</cp:lastModifiedBy>
  <dcterms:created xsi:type="dcterms:W3CDTF">2012-01-28T11:25:04Z</dcterms:created>
  <dcterms:modified xsi:type="dcterms:W3CDTF">2019-04-01T16:53:42Z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0x0101009B0564B2D3CCFA46A43E7ACA84BCEA71</vt:lpwstr>
  </property>
</Properties>
</file>